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1.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6.xml" ContentType="application/vnd.openxmlformats-officedocument.spreadsheetml.comments+xml"/>
  <Override PartName="/xl/threadedComments/threadedComment6.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mc:AlternateContent xmlns:mc="http://schemas.openxmlformats.org/markup-compatibility/2006">
    <mc:Choice Requires="x15">
      <x15ac:absPath xmlns:x15ac="http://schemas.microsoft.com/office/spreadsheetml/2010/11/ac" url="\\Epiroc\dfs\ACE_Epiroc_Group\Investor Relations\Financial Reports\Quarterly reports\2025-Q2\11. Key figures\"/>
    </mc:Choice>
  </mc:AlternateContent>
  <xr:revisionPtr revIDLastSave="0" documentId="13_ncr:1_{009104C9-D460-43EB-A954-20507CD81E49}" xr6:coauthVersionLast="47" xr6:coauthVersionMax="47" xr10:uidLastSave="{00000000-0000-0000-0000-000000000000}"/>
  <bookViews>
    <workbookView xWindow="-110" yWindow="-110" windowWidth="19420" windowHeight="10300" tabRatio="826" xr2:uid="{00000000-000D-0000-FFFF-FFFF00000000}"/>
  </bookViews>
  <sheets>
    <sheet name="START PAGE" sheetId="18" r:id="rId1"/>
    <sheet name="Definitions" sheetId="17" r:id="rId2"/>
    <sheet name="APMs calculated" sheetId="16" r:id="rId3"/>
    <sheet name="Income statement" sheetId="1" r:id="rId4"/>
    <sheet name="Segments" sheetId="27" r:id="rId5"/>
    <sheet name="Geography" sheetId="9" r:id="rId6"/>
    <sheet name="Balance Sheet" sheetId="2" r:id="rId7"/>
    <sheet name="Cash flow" sheetId="5" r:id="rId8"/>
    <sheet name="Sales bridges" sheetId="3" r:id="rId9"/>
    <sheet name="Profit bridges" sheetId="19" r:id="rId10"/>
    <sheet name="Adjusted bridges " sheetId="33" r:id="rId11"/>
    <sheet name="Key figures" sheetId="13" r:id="rId12"/>
    <sheet name="ESG" sheetId="32" r:id="rId13"/>
    <sheet name="Large orders" sheetId="25" r:id="rId14"/>
    <sheet name="OIB" sheetId="23" r:id="rId15"/>
    <sheet name="M&amp;A" sheetId="26" r:id="rId16"/>
    <sheet name="Segments (Old)" sheetId="7" r:id="rId17"/>
    <sheet name="Atlas Copco (Old) " sheetId="31" r:id="rId18"/>
  </sheets>
  <externalReferences>
    <externalReference r:id="rId19"/>
    <externalReference r:id="rId20"/>
    <externalReference r:id="rId21"/>
  </externalReferences>
  <definedNames>
    <definedName name="_xlnm._FilterDatabase" localSheetId="4" hidden="1">Segments!$A$72:$F$74</definedName>
    <definedName name="_xlnm._FilterDatabase" localSheetId="16" hidden="1">'Segments (Old)'!$A$60:$F$63</definedName>
    <definedName name="ActQ" localSheetId="10">'[1]Period Admin'!$J$10</definedName>
    <definedName name="ActQ">'[1]Period Admin'!$J$10</definedName>
    <definedName name="ActQn">'[2]Period Admin'!$J$9</definedName>
    <definedName name="ActYear">'[2]Period Admin'!$D$8</definedName>
    <definedName name="EBITDA_and_Net_Debt__EBITDA">#REF!</definedName>
    <definedName name="EBITDA_margin">#REF!</definedName>
    <definedName name="Interest_coverage_ratio">'[3]Key Ratios - SEK'!#REF!</definedName>
    <definedName name="Net_Debt___EBITDA">#REF!</definedName>
    <definedName name="_xlnm.Print_Area" localSheetId="2">'APMs calculated'!$A$1:$AG$123</definedName>
    <definedName name="_xlnm.Print_Area" localSheetId="17">'Atlas Copco (Old) '!$A$1:$AC$28</definedName>
    <definedName name="_xlnm.Print_Area" localSheetId="6">'Balance Sheet'!$A$1:$AK$37</definedName>
    <definedName name="_xlnm.Print_Area" localSheetId="7">'Cash flow'!$A$1:$AK$50</definedName>
    <definedName name="_xlnm.Print_Area" localSheetId="1">Definitions!$A$1:$C$37</definedName>
    <definedName name="_xlnm.Print_Area" localSheetId="12">ESG!$A$3:$J$91</definedName>
    <definedName name="_xlnm.Print_Area" localSheetId="5">Geography!$A$1:$AK$69</definedName>
    <definedName name="_xlnm.Print_Area" localSheetId="3">'Income statement'!$A$1:$AK$25</definedName>
    <definedName name="_xlnm.Print_Area" localSheetId="11">'Key figures'!$A$1:$AK$77</definedName>
    <definedName name="_xlnm.Print_Area" localSheetId="13">'Large orders'!$A$1:$R$65</definedName>
    <definedName name="_xlnm.Print_Area" localSheetId="15">'M&amp;A'!$A$1:$H$60</definedName>
    <definedName name="_xlnm.Print_Area" localSheetId="14">OIB!$A$1:$F$28</definedName>
    <definedName name="_xlnm.Print_Area" localSheetId="9">'Profit bridges'!$A$1:$BJ$34</definedName>
    <definedName name="_xlnm.Print_Area" localSheetId="8">'Sales bridges'!$A$1:$AG$99</definedName>
    <definedName name="_xlnm.Print_Area" localSheetId="4">Segments!$A$1:$AK$116</definedName>
    <definedName name="_xlnm.Print_Area" localSheetId="16">'Segments (Old)'!$A$1:$AL$95</definedName>
    <definedName name="_xlnm.Print_Area" localSheetId="0">'START PAGE'!$A$1:$I$26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5" l="1"/>
  <c r="F56" i="5"/>
  <c r="G56" i="5"/>
  <c r="H56" i="5"/>
  <c r="I56" i="5"/>
  <c r="J56" i="5"/>
  <c r="K56" i="5"/>
  <c r="E4" i="25"/>
  <c r="AT41" i="27"/>
  <c r="AT99" i="27"/>
  <c r="AT100" i="27" s="1"/>
  <c r="AT96" i="27"/>
  <c r="AT95" i="27"/>
  <c r="AT94" i="27"/>
  <c r="AT35" i="27"/>
  <c r="AT40" i="27" s="1"/>
  <c r="AT34" i="27"/>
  <c r="AT39" i="27" s="1"/>
  <c r="U56" i="33"/>
  <c r="AT67" i="9" l="1"/>
  <c r="AT58" i="9"/>
  <c r="AT57" i="9"/>
  <c r="AT51" i="9"/>
  <c r="AT50" i="9"/>
  <c r="AT69" i="9"/>
  <c r="AT68" i="9"/>
  <c r="AT66" i="9"/>
  <c r="AT65" i="9"/>
  <c r="AT64" i="9"/>
  <c r="AT62" i="9"/>
  <c r="AT61" i="9"/>
  <c r="AT60" i="9"/>
  <c r="AT59" i="9"/>
  <c r="AT55" i="9"/>
  <c r="AT54" i="9"/>
  <c r="AT53" i="9"/>
  <c r="AT52" i="9"/>
  <c r="AO91" i="27" l="1"/>
  <c r="AP91" i="27"/>
  <c r="AQ91" i="27"/>
  <c r="AS91" i="27"/>
  <c r="E6" i="25"/>
  <c r="C6" i="25"/>
  <c r="AH14" i="26" l="1"/>
  <c r="I183" i="33"/>
  <c r="I182" i="33"/>
  <c r="I181" i="33"/>
  <c r="U179" i="33"/>
  <c r="I179" i="33"/>
  <c r="U178" i="33"/>
  <c r="I178" i="33"/>
  <c r="U177" i="33"/>
  <c r="I177" i="33"/>
  <c r="U176" i="33"/>
  <c r="I176" i="33"/>
  <c r="U175" i="33"/>
  <c r="I175" i="33"/>
  <c r="U174" i="33"/>
  <c r="I174" i="33"/>
  <c r="U173" i="33"/>
  <c r="I173" i="33"/>
  <c r="U172" i="33"/>
  <c r="I172" i="33"/>
  <c r="U171" i="33"/>
  <c r="I171" i="33"/>
  <c r="U170" i="33"/>
  <c r="I170" i="33"/>
  <c r="U169" i="33"/>
  <c r="I169" i="33"/>
  <c r="U168" i="33"/>
  <c r="I168" i="33"/>
  <c r="I165" i="33"/>
  <c r="I164" i="33"/>
  <c r="I163" i="33"/>
  <c r="U161" i="33"/>
  <c r="I161" i="33"/>
  <c r="U160" i="33"/>
  <c r="I160" i="33"/>
  <c r="U159" i="33"/>
  <c r="I159" i="33"/>
  <c r="U158" i="33"/>
  <c r="I158" i="33"/>
  <c r="U157" i="33"/>
  <c r="I157" i="33"/>
  <c r="U156" i="33"/>
  <c r="I156" i="33"/>
  <c r="U155" i="33"/>
  <c r="I155" i="33"/>
  <c r="AD154" i="33"/>
  <c r="U154" i="33"/>
  <c r="I154" i="33"/>
  <c r="U153" i="33"/>
  <c r="I153" i="33"/>
  <c r="AD152" i="33"/>
  <c r="U152" i="33"/>
  <c r="I152" i="33"/>
  <c r="U151" i="33"/>
  <c r="I151" i="33"/>
  <c r="U150" i="33"/>
  <c r="I150" i="33"/>
  <c r="I148" i="33"/>
  <c r="I147" i="33"/>
  <c r="I146" i="33"/>
  <c r="U144" i="33"/>
  <c r="I144" i="33"/>
  <c r="U143" i="33"/>
  <c r="I143" i="33"/>
  <c r="U142" i="33"/>
  <c r="I142" i="33"/>
  <c r="U141" i="33"/>
  <c r="I141" i="33"/>
  <c r="B141" i="33"/>
  <c r="U140" i="33"/>
  <c r="I140" i="33"/>
  <c r="U139" i="33"/>
  <c r="I139" i="33"/>
  <c r="U138" i="33"/>
  <c r="I138" i="33"/>
  <c r="U137" i="33"/>
  <c r="I137" i="33"/>
  <c r="U136" i="33"/>
  <c r="I136" i="33"/>
  <c r="U135" i="33"/>
  <c r="I135" i="33"/>
  <c r="U134" i="33"/>
  <c r="I134" i="33"/>
  <c r="U133" i="33"/>
  <c r="I133" i="33"/>
  <c r="U131" i="33"/>
  <c r="I131" i="33"/>
  <c r="U129" i="33"/>
  <c r="I129" i="33"/>
  <c r="U128" i="33"/>
  <c r="I128" i="33"/>
  <c r="U127" i="33"/>
  <c r="I127" i="33"/>
  <c r="U126" i="33"/>
  <c r="I126" i="33"/>
  <c r="U125" i="33"/>
  <c r="I125" i="33"/>
  <c r="U124" i="33"/>
  <c r="I124" i="33"/>
  <c r="I123" i="33"/>
  <c r="U122" i="33"/>
  <c r="I122" i="33"/>
  <c r="U121" i="33"/>
  <c r="I121" i="33"/>
  <c r="U120" i="33"/>
  <c r="I120" i="33"/>
  <c r="U118" i="33"/>
  <c r="I118" i="33"/>
  <c r="U116" i="33"/>
  <c r="I116" i="33"/>
  <c r="U115" i="33"/>
  <c r="I115" i="33"/>
  <c r="U114" i="33"/>
  <c r="I114" i="33"/>
  <c r="U113" i="33"/>
  <c r="I113" i="33"/>
  <c r="U112" i="33"/>
  <c r="I112" i="33"/>
  <c r="U111" i="33"/>
  <c r="I111" i="33"/>
  <c r="I110" i="33"/>
  <c r="U109" i="33"/>
  <c r="I109" i="33"/>
  <c r="U108" i="33"/>
  <c r="I108" i="33"/>
  <c r="U107" i="33"/>
  <c r="I107" i="33"/>
  <c r="U105" i="33"/>
  <c r="I105" i="33"/>
  <c r="U103" i="33"/>
  <c r="I103" i="33"/>
  <c r="U102" i="33"/>
  <c r="I102" i="33"/>
  <c r="U101" i="33"/>
  <c r="I101" i="33"/>
  <c r="U100" i="33"/>
  <c r="I100" i="33"/>
  <c r="U99" i="33"/>
  <c r="I99" i="33"/>
  <c r="U98" i="33"/>
  <c r="I98" i="33"/>
  <c r="U96" i="33"/>
  <c r="I96" i="33"/>
  <c r="U95" i="33"/>
  <c r="I95" i="33"/>
  <c r="U94" i="33"/>
  <c r="I94" i="33"/>
  <c r="U92" i="33"/>
  <c r="I92" i="33"/>
  <c r="I91" i="33"/>
  <c r="U90" i="33"/>
  <c r="I90" i="33"/>
  <c r="U89" i="33"/>
  <c r="I89" i="33"/>
  <c r="U88" i="33"/>
  <c r="I88" i="33"/>
  <c r="U87" i="33"/>
  <c r="I87" i="33"/>
  <c r="U86" i="33"/>
  <c r="I86" i="33"/>
  <c r="U85" i="33"/>
  <c r="I85" i="33"/>
  <c r="U83" i="33"/>
  <c r="I83" i="33"/>
  <c r="U82" i="33"/>
  <c r="I82" i="33"/>
  <c r="U81" i="33"/>
  <c r="I81" i="33"/>
  <c r="U79" i="33"/>
  <c r="I79" i="33"/>
  <c r="U77" i="33"/>
  <c r="I77" i="33"/>
  <c r="U76" i="33"/>
  <c r="I76" i="33"/>
  <c r="U75" i="33"/>
  <c r="I75" i="33"/>
  <c r="U74" i="33"/>
  <c r="I74" i="33"/>
  <c r="U73" i="33"/>
  <c r="I73" i="33"/>
  <c r="U72" i="33"/>
  <c r="I72" i="33"/>
  <c r="I71" i="33"/>
  <c r="U70" i="33"/>
  <c r="I70" i="33"/>
  <c r="U69" i="33"/>
  <c r="I69" i="33"/>
  <c r="U68" i="33"/>
  <c r="I68" i="33"/>
  <c r="U66" i="33"/>
  <c r="I66" i="33"/>
  <c r="U65" i="33"/>
  <c r="I65" i="33"/>
  <c r="U64" i="33"/>
  <c r="I64" i="33"/>
  <c r="U63" i="33"/>
  <c r="I63" i="33"/>
  <c r="U62" i="33"/>
  <c r="I62" i="33"/>
  <c r="U61" i="33"/>
  <c r="I61" i="33"/>
  <c r="U60" i="33"/>
  <c r="I60" i="33"/>
  <c r="U59" i="33"/>
  <c r="I59" i="33"/>
  <c r="U58" i="33"/>
  <c r="I58" i="33"/>
  <c r="U57" i="33"/>
  <c r="I57" i="33"/>
  <c r="I56" i="33"/>
  <c r="U55" i="33"/>
  <c r="I55" i="33"/>
  <c r="U53" i="33"/>
  <c r="I53" i="33"/>
  <c r="U52" i="33"/>
  <c r="I52" i="33"/>
  <c r="U51" i="33"/>
  <c r="I51" i="33"/>
  <c r="U50" i="33"/>
  <c r="I50" i="33"/>
  <c r="U49" i="33"/>
  <c r="I49" i="33"/>
  <c r="U48" i="33"/>
  <c r="I48" i="33"/>
  <c r="U47" i="33"/>
  <c r="I47" i="33"/>
  <c r="U46" i="33"/>
  <c r="I46" i="33"/>
  <c r="U45" i="33"/>
  <c r="I45" i="33"/>
  <c r="U44" i="33"/>
  <c r="I44" i="33"/>
  <c r="U43" i="33"/>
  <c r="I43" i="33"/>
  <c r="U42" i="33"/>
  <c r="I42" i="33"/>
  <c r="U40" i="33"/>
  <c r="I40" i="33"/>
  <c r="U39" i="33"/>
  <c r="I39" i="33"/>
  <c r="U38" i="33"/>
  <c r="I38" i="33"/>
  <c r="U37" i="33"/>
  <c r="I37" i="33"/>
  <c r="U36" i="33"/>
  <c r="I36" i="33"/>
  <c r="U35" i="33"/>
  <c r="I35" i="33"/>
  <c r="U34" i="33"/>
  <c r="I34" i="33"/>
  <c r="U33" i="33"/>
  <c r="I33" i="33"/>
  <c r="U32" i="33"/>
  <c r="I32" i="33"/>
  <c r="U31" i="33"/>
  <c r="I31" i="33"/>
  <c r="U30" i="33"/>
  <c r="I30" i="33"/>
  <c r="U29" i="33"/>
  <c r="I29" i="33"/>
  <c r="U27" i="33"/>
  <c r="I27" i="33"/>
  <c r="B27" i="33"/>
  <c r="U26" i="33"/>
  <c r="I26" i="33"/>
  <c r="U25" i="33"/>
  <c r="I25" i="33"/>
  <c r="U24" i="33"/>
  <c r="I24" i="33"/>
  <c r="U23" i="33"/>
  <c r="I23" i="33"/>
  <c r="U22" i="33"/>
  <c r="I22" i="33"/>
  <c r="U21" i="33"/>
  <c r="I21" i="33"/>
  <c r="U20" i="33"/>
  <c r="I20" i="33"/>
  <c r="U19" i="33"/>
  <c r="I19" i="33"/>
  <c r="U18" i="33"/>
  <c r="I18" i="33"/>
  <c r="U17" i="33"/>
  <c r="I17" i="33"/>
  <c r="U16" i="33"/>
  <c r="I16" i="33"/>
  <c r="U14" i="33"/>
  <c r="I14" i="33"/>
  <c r="U13" i="33"/>
  <c r="I13" i="33"/>
  <c r="U12" i="33"/>
  <c r="I12" i="33"/>
  <c r="U11" i="33"/>
  <c r="I11" i="33"/>
  <c r="U10" i="33"/>
  <c r="I10" i="33"/>
  <c r="U9" i="33"/>
  <c r="I9" i="33"/>
  <c r="U8" i="33"/>
  <c r="I8" i="33"/>
  <c r="U7" i="33"/>
  <c r="I7" i="33"/>
  <c r="U6" i="33"/>
  <c r="I6" i="33"/>
  <c r="U5" i="33"/>
  <c r="I5" i="33"/>
  <c r="U4" i="33"/>
  <c r="I4" i="33"/>
  <c r="U3" i="33"/>
  <c r="I3" i="33"/>
  <c r="AR55" i="9" l="1"/>
  <c r="AS52" i="9"/>
  <c r="AS51" i="9"/>
  <c r="AO50" i="9"/>
  <c r="AP50" i="9"/>
  <c r="AQ50" i="9"/>
  <c r="AR50" i="9"/>
  <c r="AS50" i="9"/>
  <c r="AL50" i="9"/>
  <c r="AM50" i="9"/>
  <c r="AN50" i="9"/>
  <c r="AK50" i="9"/>
  <c r="AS69" i="9"/>
  <c r="AS68" i="9"/>
  <c r="AS67" i="9"/>
  <c r="AS66" i="9"/>
  <c r="AS65" i="9"/>
  <c r="AS64" i="9"/>
  <c r="AS62" i="9"/>
  <c r="AS61" i="9"/>
  <c r="AS60" i="9"/>
  <c r="AS59" i="9"/>
  <c r="AS58" i="9"/>
  <c r="AS57" i="9"/>
  <c r="AS55" i="9"/>
  <c r="AS54" i="9"/>
  <c r="AS53" i="9"/>
  <c r="AS99" i="27"/>
  <c r="AS100" i="27" s="1"/>
  <c r="AS96" i="27"/>
  <c r="AS95" i="27"/>
  <c r="AS94" i="27"/>
  <c r="I113" i="32"/>
  <c r="H113" i="32"/>
  <c r="G113" i="32"/>
  <c r="F113" i="32"/>
  <c r="E113" i="32"/>
  <c r="D113" i="32"/>
  <c r="C113" i="32"/>
  <c r="I111" i="32"/>
  <c r="H111" i="32"/>
  <c r="G111" i="32"/>
  <c r="F111" i="32"/>
  <c r="E111" i="32"/>
  <c r="D111" i="32"/>
  <c r="C111" i="32"/>
  <c r="I109" i="32"/>
  <c r="H109" i="32"/>
  <c r="G109" i="32"/>
  <c r="F109" i="32"/>
  <c r="E109" i="32"/>
  <c r="D109" i="32"/>
  <c r="C109" i="32"/>
  <c r="I107" i="32"/>
  <c r="H107" i="32"/>
  <c r="G107" i="32"/>
  <c r="F107" i="32"/>
  <c r="E107" i="32"/>
  <c r="D107" i="32"/>
  <c r="C107" i="32"/>
  <c r="AC13" i="31"/>
  <c r="AC15" i="31" s="1"/>
  <c r="AA13" i="31"/>
  <c r="AA15" i="31" s="1"/>
  <c r="AB12" i="31"/>
  <c r="AB13" i="31" s="1"/>
  <c r="AB15" i="31" s="1"/>
  <c r="AC12" i="31"/>
  <c r="AA12" i="31"/>
  <c r="AA8" i="31"/>
  <c r="AB8" i="31"/>
  <c r="AC8" i="31"/>
  <c r="AB6" i="31"/>
  <c r="AC6" i="31"/>
  <c r="AA6" i="31"/>
  <c r="AB11" i="31"/>
  <c r="AC11" i="31"/>
  <c r="AD11" i="31" s="1"/>
  <c r="AA11" i="31"/>
  <c r="AB10" i="31"/>
  <c r="AC10" i="31"/>
  <c r="AD10" i="31" s="1"/>
  <c r="AA10" i="31"/>
  <c r="AB2" i="31"/>
  <c r="AC2" i="31"/>
  <c r="AA2" i="31"/>
  <c r="AR21" i="26" l="1"/>
  <c r="AR20" i="26"/>
  <c r="AR19" i="26"/>
  <c r="AR18" i="26"/>
  <c r="AR16" i="26"/>
  <c r="AR15" i="26"/>
  <c r="AR14" i="26"/>
  <c r="AR13" i="26"/>
  <c r="AR12" i="26"/>
  <c r="AR11" i="26"/>
  <c r="AR10" i="26"/>
  <c r="AR9" i="26"/>
  <c r="AR8" i="26"/>
  <c r="AR7" i="26"/>
  <c r="AR6" i="26"/>
  <c r="AR5" i="26"/>
  <c r="AR4" i="26"/>
  <c r="Q9" i="26" l="1"/>
  <c r="AG7" i="26"/>
  <c r="AF7" i="26"/>
  <c r="J15" i="23"/>
  <c r="G169" i="9" l="1"/>
  <c r="H169" i="9"/>
  <c r="I169" i="9"/>
  <c r="F169" i="9"/>
  <c r="F168" i="9"/>
  <c r="G168" i="9"/>
  <c r="F86" i="9"/>
  <c r="F116" i="9" s="1"/>
  <c r="G86" i="9"/>
  <c r="H86" i="9"/>
  <c r="J86" i="9"/>
  <c r="K86" i="9"/>
  <c r="I86" i="9"/>
  <c r="K73" i="9"/>
  <c r="G73" i="9"/>
  <c r="H73" i="9"/>
  <c r="I73" i="9"/>
  <c r="J73" i="9"/>
  <c r="F73" i="9"/>
  <c r="H120" i="9"/>
  <c r="G116" i="9"/>
  <c r="G137" i="9" s="1"/>
  <c r="H116" i="9"/>
  <c r="F124" i="9" l="1"/>
  <c r="F141" i="9"/>
  <c r="F149" i="9"/>
  <c r="F158" i="9"/>
  <c r="F140" i="9"/>
  <c r="F151" i="9"/>
  <c r="F121" i="9"/>
  <c r="F122" i="9"/>
  <c r="F159" i="9"/>
  <c r="F133" i="9"/>
  <c r="H128" i="9"/>
  <c r="H141" i="9"/>
  <c r="F132" i="9"/>
  <c r="H154" i="9"/>
  <c r="H138" i="9"/>
  <c r="H125" i="9"/>
  <c r="H152" i="9"/>
  <c r="H137" i="9"/>
  <c r="H124" i="9"/>
  <c r="H127" i="9"/>
  <c r="H136" i="9"/>
  <c r="G119" i="9"/>
  <c r="H147" i="9"/>
  <c r="H134" i="9"/>
  <c r="H160" i="9"/>
  <c r="H146" i="9"/>
  <c r="H133" i="9"/>
  <c r="H156" i="9"/>
  <c r="H142" i="9"/>
  <c r="H155" i="9"/>
  <c r="H151" i="9"/>
  <c r="H159" i="9"/>
  <c r="H145" i="9"/>
  <c r="H129" i="9"/>
  <c r="J132" i="9"/>
  <c r="J116" i="9"/>
  <c r="I116" i="9"/>
  <c r="I127" i="9" s="1"/>
  <c r="I136" i="9"/>
  <c r="I145" i="9"/>
  <c r="I154" i="9"/>
  <c r="I128" i="9"/>
  <c r="I137" i="9"/>
  <c r="I155" i="9"/>
  <c r="I120" i="9"/>
  <c r="I129" i="9"/>
  <c r="I138" i="9"/>
  <c r="I147" i="9"/>
  <c r="I156" i="9"/>
  <c r="I132" i="9"/>
  <c r="I149" i="9"/>
  <c r="I124" i="9"/>
  <c r="I133" i="9"/>
  <c r="I151" i="9"/>
  <c r="I159" i="9"/>
  <c r="I121" i="9"/>
  <c r="I130" i="9"/>
  <c r="I139" i="9"/>
  <c r="I148" i="9"/>
  <c r="I157" i="9"/>
  <c r="I122" i="9"/>
  <c r="I140" i="9"/>
  <c r="I158" i="9"/>
  <c r="I141" i="9"/>
  <c r="I125" i="9"/>
  <c r="I134" i="9"/>
  <c r="I142" i="9"/>
  <c r="I152" i="9"/>
  <c r="I160" i="9"/>
  <c r="I126" i="9"/>
  <c r="I135" i="9"/>
  <c r="I144" i="9"/>
  <c r="I153" i="9"/>
  <c r="I146" i="9"/>
  <c r="G148" i="9"/>
  <c r="G130" i="9"/>
  <c r="G155" i="9"/>
  <c r="G146" i="9"/>
  <c r="G128" i="9"/>
  <c r="I119" i="9"/>
  <c r="J160" i="9"/>
  <c r="J152" i="9"/>
  <c r="J142" i="9"/>
  <c r="J134" i="9"/>
  <c r="J125" i="9"/>
  <c r="G154" i="9"/>
  <c r="G145" i="9"/>
  <c r="G136" i="9"/>
  <c r="G127" i="9"/>
  <c r="H119" i="9"/>
  <c r="H153" i="9"/>
  <c r="H144" i="9"/>
  <c r="H135" i="9"/>
  <c r="H126" i="9"/>
  <c r="J159" i="9"/>
  <c r="J151" i="9"/>
  <c r="J141" i="9"/>
  <c r="J133" i="9"/>
  <c r="J124" i="9"/>
  <c r="G144" i="9"/>
  <c r="G152" i="9"/>
  <c r="G134" i="9"/>
  <c r="J157" i="9"/>
  <c r="J148" i="9"/>
  <c r="J139" i="9"/>
  <c r="J121" i="9"/>
  <c r="G159" i="9"/>
  <c r="G151" i="9"/>
  <c r="G141" i="9"/>
  <c r="G133" i="9"/>
  <c r="G124" i="9"/>
  <c r="G162" i="9" s="1"/>
  <c r="H158" i="9"/>
  <c r="H149" i="9"/>
  <c r="H140" i="9"/>
  <c r="H132" i="9"/>
  <c r="H122" i="9"/>
  <c r="J156" i="9"/>
  <c r="J147" i="9"/>
  <c r="J138" i="9"/>
  <c r="J129" i="9"/>
  <c r="J120" i="9"/>
  <c r="G153" i="9"/>
  <c r="G135" i="9"/>
  <c r="G126" i="9"/>
  <c r="G160" i="9"/>
  <c r="G142" i="9"/>
  <c r="G125" i="9"/>
  <c r="J130" i="9"/>
  <c r="G158" i="9"/>
  <c r="G149" i="9"/>
  <c r="G140" i="9"/>
  <c r="G132" i="9"/>
  <c r="G122" i="9"/>
  <c r="H157" i="9"/>
  <c r="H148" i="9"/>
  <c r="H139" i="9"/>
  <c r="H130" i="9"/>
  <c r="H121" i="9"/>
  <c r="J155" i="9"/>
  <c r="J146" i="9"/>
  <c r="J137" i="9"/>
  <c r="J128" i="9"/>
  <c r="G157" i="9"/>
  <c r="G139" i="9"/>
  <c r="G121" i="9"/>
  <c r="G156" i="9"/>
  <c r="G147" i="9"/>
  <c r="G138" i="9"/>
  <c r="G129" i="9"/>
  <c r="G120" i="9"/>
  <c r="J119" i="9"/>
  <c r="J153" i="9"/>
  <c r="J144" i="9"/>
  <c r="J135" i="9"/>
  <c r="J126" i="9"/>
  <c r="F120" i="9"/>
  <c r="F139" i="9"/>
  <c r="F156" i="9"/>
  <c r="F147" i="9"/>
  <c r="F138" i="9"/>
  <c r="F128" i="9"/>
  <c r="F129" i="9"/>
  <c r="F155" i="9"/>
  <c r="F146" i="9"/>
  <c r="F137" i="9"/>
  <c r="F127" i="9"/>
  <c r="F130" i="9"/>
  <c r="F154" i="9"/>
  <c r="F145" i="9"/>
  <c r="F136" i="9"/>
  <c r="F126" i="9"/>
  <c r="F157" i="9"/>
  <c r="F119" i="9"/>
  <c r="F153" i="9"/>
  <c r="F144" i="9"/>
  <c r="F135" i="9"/>
  <c r="F125" i="9"/>
  <c r="F148" i="9"/>
  <c r="F160" i="9"/>
  <c r="F152" i="9"/>
  <c r="F142" i="9"/>
  <c r="F134" i="9"/>
  <c r="K116" i="9"/>
  <c r="J36" i="27"/>
  <c r="P9" i="26"/>
  <c r="O9" i="26"/>
  <c r="N9" i="26"/>
  <c r="AG8" i="26"/>
  <c r="AG9" i="26" s="1"/>
  <c r="AR64" i="13"/>
  <c r="AR63" i="13"/>
  <c r="K64" i="13"/>
  <c r="E8" i="25"/>
  <c r="L69" i="27"/>
  <c r="F162" i="9" l="1"/>
  <c r="H162" i="9"/>
  <c r="J122" i="9"/>
  <c r="J158" i="9"/>
  <c r="J127" i="9"/>
  <c r="J136" i="9"/>
  <c r="J140" i="9"/>
  <c r="J145" i="9"/>
  <c r="J154" i="9"/>
  <c r="J149" i="9"/>
  <c r="K121" i="9"/>
  <c r="K130" i="9"/>
  <c r="K139" i="9"/>
  <c r="K148" i="9"/>
  <c r="K157" i="9"/>
  <c r="K128" i="9"/>
  <c r="K147" i="9"/>
  <c r="K122" i="9"/>
  <c r="K132" i="9"/>
  <c r="K140" i="9"/>
  <c r="K149" i="9"/>
  <c r="K158" i="9"/>
  <c r="K145" i="9"/>
  <c r="K120" i="9"/>
  <c r="K124" i="9"/>
  <c r="K133" i="9"/>
  <c r="K141" i="9"/>
  <c r="K151" i="9"/>
  <c r="K159" i="9"/>
  <c r="K154" i="9"/>
  <c r="K155" i="9"/>
  <c r="K125" i="9"/>
  <c r="K134" i="9"/>
  <c r="K142" i="9"/>
  <c r="K152" i="9"/>
  <c r="K160" i="9"/>
  <c r="K136" i="9"/>
  <c r="K129" i="9"/>
  <c r="K126" i="9"/>
  <c r="K135" i="9"/>
  <c r="K144" i="9"/>
  <c r="K153" i="9"/>
  <c r="K119" i="9"/>
  <c r="K137" i="9"/>
  <c r="K146" i="9"/>
  <c r="K156" i="9"/>
  <c r="K127" i="9"/>
  <c r="K138" i="9"/>
  <c r="I162" i="9"/>
  <c r="K91" i="27"/>
  <c r="K89" i="27"/>
  <c r="J32" i="23"/>
  <c r="J5" i="23"/>
  <c r="AG22" i="26"/>
  <c r="AG20" i="26"/>
  <c r="AG18" i="26"/>
  <c r="J25" i="27"/>
  <c r="K25" i="27"/>
  <c r="K24" i="27"/>
  <c r="AL65" i="9"/>
  <c r="AM65" i="9"/>
  <c r="AN65" i="9"/>
  <c r="AO65" i="9"/>
  <c r="AP65" i="9"/>
  <c r="AQ65" i="9"/>
  <c r="AR65" i="9"/>
  <c r="AL66" i="9"/>
  <c r="AM66" i="9"/>
  <c r="AN66" i="9"/>
  <c r="AO66" i="9"/>
  <c r="AP66" i="9"/>
  <c r="AQ66" i="9"/>
  <c r="AR66" i="9"/>
  <c r="AL67" i="9"/>
  <c r="AM67" i="9"/>
  <c r="AN67" i="9"/>
  <c r="AO67" i="9"/>
  <c r="AP67" i="9"/>
  <c r="AQ67" i="9"/>
  <c r="AR67" i="9"/>
  <c r="AL68" i="9"/>
  <c r="AM68" i="9"/>
  <c r="AN68" i="9"/>
  <c r="AO68" i="9"/>
  <c r="AP68" i="9"/>
  <c r="AQ68" i="9"/>
  <c r="AR68" i="9"/>
  <c r="AL69" i="9"/>
  <c r="AM69" i="9"/>
  <c r="AN69" i="9"/>
  <c r="AO69" i="9"/>
  <c r="AP69" i="9"/>
  <c r="AQ69" i="9"/>
  <c r="AR69" i="9"/>
  <c r="AK66" i="9"/>
  <c r="AK67" i="9"/>
  <c r="AK68" i="9"/>
  <c r="AK69" i="9"/>
  <c r="AK65" i="9"/>
  <c r="AL58" i="9"/>
  <c r="AM58" i="9"/>
  <c r="AN58" i="9"/>
  <c r="AO58" i="9"/>
  <c r="AP58" i="9"/>
  <c r="AQ58" i="9"/>
  <c r="AR58" i="9"/>
  <c r="AL59" i="9"/>
  <c r="AM59" i="9"/>
  <c r="AN59" i="9"/>
  <c r="AO59" i="9"/>
  <c r="AP59" i="9"/>
  <c r="AQ59" i="9"/>
  <c r="AR59" i="9"/>
  <c r="AL60" i="9"/>
  <c r="AM60" i="9"/>
  <c r="AN60" i="9"/>
  <c r="AO60" i="9"/>
  <c r="AP60" i="9"/>
  <c r="AQ60" i="9"/>
  <c r="AR60" i="9"/>
  <c r="AL61" i="9"/>
  <c r="AM61" i="9"/>
  <c r="AN61" i="9"/>
  <c r="AO61" i="9"/>
  <c r="AP61" i="9"/>
  <c r="AQ61" i="9"/>
  <c r="AR61" i="9"/>
  <c r="AL62" i="9"/>
  <c r="AM62" i="9"/>
  <c r="AN62" i="9"/>
  <c r="AO62" i="9"/>
  <c r="AP62" i="9"/>
  <c r="AQ62" i="9"/>
  <c r="AR62" i="9"/>
  <c r="AK59" i="9"/>
  <c r="AK60" i="9"/>
  <c r="AK61" i="9"/>
  <c r="AK62" i="9"/>
  <c r="AK58" i="9"/>
  <c r="AL51" i="9"/>
  <c r="AM51" i="9"/>
  <c r="AN51" i="9"/>
  <c r="AO51" i="9"/>
  <c r="AP51" i="9"/>
  <c r="AQ51" i="9"/>
  <c r="AR51" i="9"/>
  <c r="AL52" i="9"/>
  <c r="AM52" i="9"/>
  <c r="AN52" i="9"/>
  <c r="AO52" i="9"/>
  <c r="AP52" i="9"/>
  <c r="AQ52" i="9"/>
  <c r="AR52" i="9"/>
  <c r="AL53" i="9"/>
  <c r="AM53" i="9"/>
  <c r="AN53" i="9"/>
  <c r="AO53" i="9"/>
  <c r="AP53" i="9"/>
  <c r="AQ53" i="9"/>
  <c r="AR53" i="9"/>
  <c r="AL54" i="9"/>
  <c r="AM54" i="9"/>
  <c r="AN54" i="9"/>
  <c r="AO54" i="9"/>
  <c r="AP54" i="9"/>
  <c r="AQ54" i="9"/>
  <c r="AR54" i="9"/>
  <c r="AL55" i="9"/>
  <c r="AM55" i="9"/>
  <c r="AN55" i="9"/>
  <c r="AO55" i="9"/>
  <c r="AP55" i="9"/>
  <c r="AQ55" i="9"/>
  <c r="AK52" i="9"/>
  <c r="AK53" i="9"/>
  <c r="AK54" i="9"/>
  <c r="AK55" i="9"/>
  <c r="AK51" i="9"/>
  <c r="K162" i="9" l="1"/>
  <c r="AR57" i="9"/>
  <c r="AR64" i="9"/>
  <c r="K73" i="27"/>
  <c r="K69" i="9" l="1"/>
  <c r="K68" i="9"/>
  <c r="K67" i="9"/>
  <c r="K66" i="9"/>
  <c r="K65" i="9"/>
  <c r="K64" i="9"/>
  <c r="K62" i="9"/>
  <c r="K61" i="9"/>
  <c r="K60" i="9"/>
  <c r="K59" i="9"/>
  <c r="K58" i="9"/>
  <c r="K57" i="9"/>
  <c r="K55" i="9"/>
  <c r="K54" i="9"/>
  <c r="K53" i="9"/>
  <c r="K52" i="9"/>
  <c r="K51" i="9"/>
  <c r="K50" i="9"/>
  <c r="K105" i="27" l="1"/>
  <c r="K104" i="27"/>
  <c r="K103" i="27"/>
  <c r="K99" i="27"/>
  <c r="K100" i="27" s="1"/>
  <c r="K96" i="27"/>
  <c r="K95" i="27"/>
  <c r="K94" i="27"/>
  <c r="K90" i="27"/>
  <c r="K88" i="27"/>
  <c r="K85" i="27"/>
  <c r="K84" i="27"/>
  <c r="K74" i="27"/>
  <c r="K56" i="27"/>
  <c r="K55" i="27"/>
  <c r="K54" i="27"/>
  <c r="K41" i="27"/>
  <c r="K40" i="27"/>
  <c r="K39" i="27"/>
  <c r="AR91" i="27"/>
  <c r="AR89" i="27" s="1"/>
  <c r="AR90" i="27"/>
  <c r="AR39" i="27"/>
  <c r="AR40" i="27" l="1"/>
  <c r="AR41" i="27"/>
  <c r="AR99" i="27"/>
  <c r="AR100" i="27" s="1"/>
  <c r="AR96" i="27"/>
  <c r="AR95" i="27"/>
  <c r="AR94" i="27"/>
  <c r="B99" i="27"/>
  <c r="B100" i="27" s="1"/>
  <c r="C99" i="27"/>
  <c r="C100" i="27" s="1"/>
  <c r="D99" i="27"/>
  <c r="D100" i="27" s="1"/>
  <c r="E99" i="27"/>
  <c r="E100" i="27" s="1"/>
  <c r="F99" i="27"/>
  <c r="G99" i="27"/>
  <c r="G100" i="27" s="1"/>
  <c r="I99" i="27"/>
  <c r="I100" i="27" s="1"/>
  <c r="J99" i="27"/>
  <c r="M99" i="27"/>
  <c r="M100" i="27" s="1"/>
  <c r="N99" i="27"/>
  <c r="N100" i="27" s="1"/>
  <c r="O99" i="27"/>
  <c r="O100" i="27" s="1"/>
  <c r="P99" i="27"/>
  <c r="Q99" i="27"/>
  <c r="R99" i="27"/>
  <c r="R100" i="27" s="1"/>
  <c r="S99" i="27"/>
  <c r="S100" i="27" s="1"/>
  <c r="T99" i="27"/>
  <c r="U99" i="27"/>
  <c r="U100" i="27" s="1"/>
  <c r="V99" i="27"/>
  <c r="V100" i="27" s="1"/>
  <c r="W99" i="27"/>
  <c r="W100" i="27" s="1"/>
  <c r="X99" i="27"/>
  <c r="Y99" i="27"/>
  <c r="Z99" i="27"/>
  <c r="Z100" i="27" s="1"/>
  <c r="AA99" i="27"/>
  <c r="AA100" i="27" s="1"/>
  <c r="AB99" i="27"/>
  <c r="AC99" i="27"/>
  <c r="AC100" i="27" s="1"/>
  <c r="AD99" i="27"/>
  <c r="AD100" i="27" s="1"/>
  <c r="AE99" i="27"/>
  <c r="AE100" i="27" s="1"/>
  <c r="AF99" i="27"/>
  <c r="AG99" i="27"/>
  <c r="AG100" i="27" s="1"/>
  <c r="AH99" i="27"/>
  <c r="AH100" i="27" s="1"/>
  <c r="AI99" i="27"/>
  <c r="AI100" i="27" s="1"/>
  <c r="AJ99" i="27"/>
  <c r="AK99" i="27"/>
  <c r="AK100" i="27" s="1"/>
  <c r="AL99" i="27"/>
  <c r="AL100" i="27" s="1"/>
  <c r="AM99" i="27"/>
  <c r="AM100" i="27" s="1"/>
  <c r="AN99" i="27"/>
  <c r="AO99" i="27"/>
  <c r="AO100" i="27" s="1"/>
  <c r="AP99" i="27"/>
  <c r="AP100" i="27" s="1"/>
  <c r="F100" i="27"/>
  <c r="J100" i="27"/>
  <c r="P100" i="27"/>
  <c r="Q100" i="27"/>
  <c r="T100" i="27"/>
  <c r="X100" i="27"/>
  <c r="Y100" i="27"/>
  <c r="AB100" i="27"/>
  <c r="AF100" i="27"/>
  <c r="AJ100" i="27"/>
  <c r="AN100" i="27"/>
  <c r="AQ99" i="27"/>
  <c r="AQ100" i="27" s="1"/>
  <c r="AF22" i="26"/>
  <c r="AF20" i="26"/>
  <c r="AF18" i="26"/>
  <c r="AF8" i="26"/>
  <c r="AF9" i="26" s="1"/>
  <c r="AQ114" i="27" l="1"/>
  <c r="AP114" i="27"/>
  <c r="U114" i="27"/>
  <c r="V114" i="27"/>
  <c r="W114" i="27"/>
  <c r="X114" i="27"/>
  <c r="Y114" i="27"/>
  <c r="Z114" i="27"/>
  <c r="AA114" i="27"/>
  <c r="AB114" i="27"/>
  <c r="AC114" i="27"/>
  <c r="AD114" i="27"/>
  <c r="AE114" i="27"/>
  <c r="AF114" i="27"/>
  <c r="AG114" i="27"/>
  <c r="AH114" i="27"/>
  <c r="AI114" i="27"/>
  <c r="AJ114" i="27"/>
  <c r="AK114" i="27"/>
  <c r="AL114" i="27"/>
  <c r="AM114" i="27"/>
  <c r="AN114" i="27"/>
  <c r="AO114" i="27"/>
  <c r="S114" i="27"/>
  <c r="T114" i="27"/>
  <c r="R114" i="27"/>
  <c r="F114" i="27"/>
  <c r="G114" i="27"/>
  <c r="H114" i="27"/>
  <c r="I114" i="27"/>
  <c r="J114" i="27"/>
  <c r="E114" i="27"/>
  <c r="AM89" i="16" l="1"/>
  <c r="AQ30" i="27" l="1"/>
  <c r="AQ29" i="27"/>
  <c r="AQ96" i="27" l="1"/>
  <c r="AQ95" i="27"/>
  <c r="AQ94" i="27"/>
  <c r="AQ64" i="9" l="1"/>
  <c r="AQ57" i="9"/>
  <c r="I18" i="23" l="1"/>
  <c r="I5" i="23"/>
  <c r="I15" i="23" s="1"/>
  <c r="J55" i="5" l="1"/>
  <c r="J54" i="5"/>
  <c r="J53" i="5"/>
  <c r="I55" i="5"/>
  <c r="I54" i="5"/>
  <c r="I53" i="5"/>
  <c r="H55" i="5"/>
  <c r="H54" i="5"/>
  <c r="H53" i="5"/>
  <c r="G55" i="5"/>
  <c r="G54" i="5"/>
  <c r="G53" i="5"/>
  <c r="AL53" i="16"/>
  <c r="AP96" i="27" l="1"/>
  <c r="AP95" i="27"/>
  <c r="AP94" i="27"/>
  <c r="AP41" i="27"/>
  <c r="AP35" i="27"/>
  <c r="AQ35" i="27" s="1"/>
  <c r="AQ40" i="27" s="1"/>
  <c r="AP34" i="27"/>
  <c r="AQ34" i="27" s="1"/>
  <c r="AQ39" i="27" s="1"/>
  <c r="AP30" i="27"/>
  <c r="AP29" i="27"/>
  <c r="AP39" i="27" l="1"/>
  <c r="AP40" i="27"/>
  <c r="H7" i="18"/>
  <c r="H8" i="18" s="1"/>
  <c r="H9" i="18" s="1"/>
  <c r="H10" i="18" s="1"/>
  <c r="H11" i="18" s="1"/>
  <c r="H12" i="18" s="1"/>
  <c r="H13" i="18" s="1"/>
  <c r="H14" i="18" s="1"/>
  <c r="H15" i="18" s="1"/>
  <c r="H16" i="18" s="1"/>
  <c r="AJ3" i="26"/>
  <c r="AE9" i="26"/>
  <c r="AP31" i="27"/>
  <c r="AP64" i="9" l="1"/>
  <c r="AP57" i="9"/>
  <c r="AN56" i="5"/>
  <c r="AP56" i="5"/>
  <c r="AP15" i="1"/>
  <c r="AP16" i="1"/>
  <c r="AL6" i="13"/>
  <c r="AK6" i="13"/>
  <c r="AL84" i="27"/>
  <c r="AL85" i="27" s="1"/>
  <c r="AM84" i="27"/>
  <c r="AM85" i="27" s="1"/>
  <c r="AN84" i="27"/>
  <c r="AN85" i="27" s="1"/>
  <c r="AO84" i="27"/>
  <c r="AO85" i="27" s="1"/>
  <c r="AK84" i="27"/>
  <c r="AK85" i="27" s="1"/>
  <c r="J24" i="27"/>
  <c r="J7" i="27"/>
  <c r="J5" i="27"/>
  <c r="J4" i="27"/>
  <c r="I25" i="27" l="1"/>
  <c r="AK36" i="27"/>
  <c r="AL30" i="27"/>
  <c r="AM30" i="27" s="1"/>
  <c r="AN30" i="27" s="1"/>
  <c r="AL29" i="27"/>
  <c r="AM29" i="27" s="1"/>
  <c r="AN29" i="27" s="1"/>
  <c r="H25" i="27" l="1"/>
  <c r="AL34" i="27"/>
  <c r="AM34" i="27" s="1"/>
  <c r="AM39" i="27" s="1"/>
  <c r="G25" i="27" l="1"/>
  <c r="AM36" i="27"/>
  <c r="AO36" i="27"/>
  <c r="AQ36" i="27" s="1"/>
  <c r="AQ41" i="27" s="1"/>
  <c r="AL36" i="27"/>
  <c r="J35" i="27"/>
  <c r="F25" i="27" l="1"/>
  <c r="J41" i="27"/>
  <c r="J40" i="27"/>
  <c r="J39" i="27"/>
  <c r="AO41" i="27"/>
  <c r="AK39" i="27"/>
  <c r="E25" i="27" l="1"/>
  <c r="AK41" i="27"/>
  <c r="AO40" i="27"/>
  <c r="AO39" i="27"/>
  <c r="AL35" i="27"/>
  <c r="AM35" i="27" s="1"/>
  <c r="AL88" i="27"/>
  <c r="AM88" i="27"/>
  <c r="AN88" i="27"/>
  <c r="AK88" i="27"/>
  <c r="AK90" i="27"/>
  <c r="AK91" i="27"/>
  <c r="AK89" i="27" s="1"/>
  <c r="D25" i="27" l="1"/>
  <c r="AN39" i="27"/>
  <c r="AN35" i="27"/>
  <c r="AN40" i="27" s="1"/>
  <c r="AN41" i="27"/>
  <c r="AL41" i="27"/>
  <c r="AM41" i="27"/>
  <c r="AK40" i="27"/>
  <c r="C25" i="27" l="1"/>
  <c r="AL40" i="27" l="1"/>
  <c r="AL39" i="27"/>
  <c r="AO64" i="9"/>
  <c r="AO57" i="9"/>
  <c r="AO94" i="27"/>
  <c r="AO96" i="27"/>
  <c r="AO95" i="27"/>
  <c r="AM40" i="27" l="1"/>
  <c r="AK94" i="27" l="1"/>
  <c r="AL91" i="27"/>
  <c r="AM91" i="27"/>
  <c r="AN91" i="27"/>
  <c r="AN89" i="27" s="1"/>
  <c r="AL90" i="27"/>
  <c r="AM90" i="27"/>
  <c r="AN90" i="27"/>
  <c r="M22" i="13" l="1"/>
  <c r="G30" i="23" l="1"/>
  <c r="G31" i="23" s="1"/>
  <c r="G32" i="23" s="1"/>
  <c r="G36" i="23" s="1"/>
  <c r="G38" i="23" s="1"/>
  <c r="G40" i="23" s="1"/>
  <c r="F32" i="23"/>
  <c r="H32" i="23"/>
  <c r="U22" i="26"/>
  <c r="T22" i="26"/>
  <c r="S22" i="26"/>
  <c r="U20" i="26"/>
  <c r="T20" i="26"/>
  <c r="S20" i="26"/>
  <c r="U18" i="26"/>
  <c r="T18" i="26"/>
  <c r="S18" i="26"/>
  <c r="Y22" i="26"/>
  <c r="X22" i="26"/>
  <c r="W22" i="26"/>
  <c r="V22" i="26"/>
  <c r="Y20" i="26"/>
  <c r="X20" i="26"/>
  <c r="W20" i="26"/>
  <c r="V20" i="26"/>
  <c r="Y18" i="26"/>
  <c r="X18" i="26"/>
  <c r="W18" i="26"/>
  <c r="V18" i="26"/>
  <c r="AC22" i="26"/>
  <c r="AB22" i="26"/>
  <c r="AA22" i="26"/>
  <c r="Z22" i="26"/>
  <c r="AC20" i="26"/>
  <c r="AB20" i="26"/>
  <c r="AA20" i="26"/>
  <c r="Z20" i="26"/>
  <c r="Z18" i="26"/>
  <c r="AA18" i="26"/>
  <c r="AB18" i="26"/>
  <c r="AC18" i="26"/>
  <c r="U8" i="26"/>
  <c r="T8" i="26"/>
  <c r="S8" i="26"/>
  <c r="U6" i="26"/>
  <c r="T6" i="26"/>
  <c r="S6" i="26"/>
  <c r="Y8" i="26"/>
  <c r="X8" i="26"/>
  <c r="W8" i="26"/>
  <c r="V8" i="26"/>
  <c r="Y6" i="26"/>
  <c r="X6" i="26"/>
  <c r="W6" i="26"/>
  <c r="V6" i="26"/>
  <c r="AC8" i="26"/>
  <c r="AB8" i="26"/>
  <c r="AA8" i="26"/>
  <c r="Z8" i="26"/>
  <c r="Z6" i="26"/>
  <c r="AA6" i="26"/>
  <c r="AB6" i="26"/>
  <c r="AC6" i="26"/>
  <c r="C49" i="23"/>
  <c r="D49" i="23"/>
  <c r="E49" i="23"/>
  <c r="F49" i="23"/>
  <c r="H49" i="23"/>
  <c r="B49" i="23"/>
  <c r="AJ96" i="16"/>
  <c r="AJ16" i="16"/>
  <c r="AJ11" i="16"/>
  <c r="AJ12" i="16"/>
  <c r="J11" i="16"/>
  <c r="J16" i="16"/>
  <c r="J12" i="16"/>
  <c r="J68" i="9"/>
  <c r="J65" i="9"/>
  <c r="J59" i="9"/>
  <c r="J54" i="9"/>
  <c r="AB9" i="26" l="1"/>
  <c r="S9" i="26"/>
  <c r="Z9" i="26"/>
  <c r="AA9" i="26"/>
  <c r="U9" i="26"/>
  <c r="X9" i="26"/>
  <c r="AC9" i="26"/>
  <c r="Y9" i="26"/>
  <c r="T9" i="26"/>
  <c r="W9" i="26"/>
  <c r="J38" i="16"/>
  <c r="E16" i="25" l="1"/>
  <c r="C5" i="23"/>
  <c r="D5" i="23"/>
  <c r="E5" i="23"/>
  <c r="F5" i="23"/>
  <c r="H5" i="23"/>
  <c r="H13" i="23" s="1"/>
  <c r="B5" i="23"/>
  <c r="J162" i="9" l="1"/>
  <c r="AN57" i="9" l="1"/>
  <c r="I69" i="9" l="1"/>
  <c r="J69" i="9"/>
  <c r="J67" i="9"/>
  <c r="J66" i="9"/>
  <c r="J62" i="9"/>
  <c r="J61" i="9"/>
  <c r="J60" i="9"/>
  <c r="J58" i="9"/>
  <c r="J55" i="9"/>
  <c r="J53" i="9"/>
  <c r="J52" i="9"/>
  <c r="J51" i="9"/>
  <c r="J64" i="9"/>
  <c r="J57" i="9"/>
  <c r="J50" i="9"/>
  <c r="J105" i="27"/>
  <c r="J104" i="27"/>
  <c r="J103" i="27"/>
  <c r="J96" i="27"/>
  <c r="J95" i="27"/>
  <c r="J94" i="27"/>
  <c r="J91" i="27"/>
  <c r="J90" i="27"/>
  <c r="J84" i="27"/>
  <c r="J85" i="27" s="1"/>
  <c r="J68" i="27"/>
  <c r="J74" i="27" s="1"/>
  <c r="J67" i="27"/>
  <c r="J73" i="27" s="1"/>
  <c r="I67" i="27"/>
  <c r="J56" i="27"/>
  <c r="J55" i="27"/>
  <c r="J54" i="27"/>
  <c r="J89" i="27" l="1"/>
  <c r="J88" i="27"/>
  <c r="AM96" i="27"/>
  <c r="AM95" i="27"/>
  <c r="AM94" i="27"/>
  <c r="AN94" i="27"/>
  <c r="AN95" i="27"/>
  <c r="AN96" i="27"/>
  <c r="Y56" i="5" l="1"/>
  <c r="Z56" i="5"/>
  <c r="AA56" i="5"/>
  <c r="AB56" i="5"/>
  <c r="AC56" i="5"/>
  <c r="AD56" i="5"/>
  <c r="AE56" i="5"/>
  <c r="AF56" i="5"/>
  <c r="AG56" i="5"/>
  <c r="AH56" i="5"/>
  <c r="AI56" i="5"/>
  <c r="AJ56" i="5"/>
  <c r="AK56" i="5"/>
  <c r="AL56" i="5"/>
  <c r="AM56" i="5"/>
  <c r="E19" i="25"/>
  <c r="C94" i="27"/>
  <c r="D94" i="27"/>
  <c r="E94" i="27"/>
  <c r="F94" i="27"/>
  <c r="G94" i="27"/>
  <c r="I94" i="27"/>
  <c r="M94" i="27"/>
  <c r="N94" i="27"/>
  <c r="O94" i="27"/>
  <c r="P94" i="27"/>
  <c r="Q94" i="27"/>
  <c r="R94" i="27"/>
  <c r="S94" i="27"/>
  <c r="T94" i="27"/>
  <c r="U94" i="27"/>
  <c r="V94" i="27"/>
  <c r="W94" i="27"/>
  <c r="X94" i="27"/>
  <c r="Y94" i="27"/>
  <c r="Z94" i="27"/>
  <c r="AA94" i="27"/>
  <c r="AB94" i="27"/>
  <c r="AC94" i="27"/>
  <c r="AD94" i="27"/>
  <c r="AE94" i="27"/>
  <c r="AF94" i="27"/>
  <c r="AG94" i="27"/>
  <c r="AH94" i="27"/>
  <c r="AI94" i="27"/>
  <c r="AJ94" i="27"/>
  <c r="AL94" i="27"/>
  <c r="C95" i="27"/>
  <c r="D95" i="27"/>
  <c r="E95" i="27"/>
  <c r="F95" i="27"/>
  <c r="G95" i="27"/>
  <c r="I95" i="27"/>
  <c r="M95" i="27"/>
  <c r="N95" i="27"/>
  <c r="O95" i="27"/>
  <c r="P95" i="27"/>
  <c r="Q95" i="27"/>
  <c r="R95" i="27"/>
  <c r="S95" i="27"/>
  <c r="T95" i="27"/>
  <c r="U95" i="27"/>
  <c r="V95" i="27"/>
  <c r="W95" i="27"/>
  <c r="X95" i="27"/>
  <c r="Y95" i="27"/>
  <c r="Z95" i="27"/>
  <c r="AA95" i="27"/>
  <c r="AB95" i="27"/>
  <c r="AC95" i="27"/>
  <c r="AD95" i="27"/>
  <c r="AE95" i="27"/>
  <c r="AF95" i="27"/>
  <c r="AG95" i="27"/>
  <c r="AH95" i="27"/>
  <c r="AI95" i="27"/>
  <c r="AJ95" i="27"/>
  <c r="AK95" i="27"/>
  <c r="AL95" i="27"/>
  <c r="C96" i="27"/>
  <c r="D96" i="27"/>
  <c r="E96" i="27"/>
  <c r="F96" i="27"/>
  <c r="G96" i="27"/>
  <c r="I96" i="27"/>
  <c r="M96" i="27"/>
  <c r="N96" i="27"/>
  <c r="O96" i="27"/>
  <c r="P96" i="27"/>
  <c r="Q96" i="27"/>
  <c r="R96" i="27"/>
  <c r="S96" i="27"/>
  <c r="T96" i="27"/>
  <c r="U96" i="27"/>
  <c r="V96" i="27"/>
  <c r="W96" i="27"/>
  <c r="X96" i="27"/>
  <c r="Y96" i="27"/>
  <c r="Z96" i="27"/>
  <c r="AA96" i="27"/>
  <c r="AB96" i="27"/>
  <c r="AC96" i="27"/>
  <c r="AD96" i="27"/>
  <c r="AE96" i="27"/>
  <c r="AF96" i="27"/>
  <c r="AG96" i="27"/>
  <c r="AH96" i="27"/>
  <c r="AI96" i="27"/>
  <c r="AJ96" i="27"/>
  <c r="AK96" i="27"/>
  <c r="AL96" i="27"/>
  <c r="B96" i="27"/>
  <c r="B95" i="27"/>
  <c r="B94" i="27"/>
  <c r="C93" i="27"/>
  <c r="D93" i="27"/>
  <c r="E93" i="27"/>
  <c r="F93" i="27"/>
  <c r="G93" i="27"/>
  <c r="H93" i="27"/>
  <c r="I93" i="27"/>
  <c r="M93" i="27"/>
  <c r="N93" i="27"/>
  <c r="O93" i="27"/>
  <c r="P93" i="27"/>
  <c r="Q93" i="27"/>
  <c r="R93" i="27"/>
  <c r="S93" i="27"/>
  <c r="T93" i="27"/>
  <c r="U93" i="27"/>
  <c r="V93" i="27"/>
  <c r="W93" i="27"/>
  <c r="X93" i="27"/>
  <c r="Y93" i="27"/>
  <c r="Z93" i="27"/>
  <c r="AA93" i="27"/>
  <c r="AB93" i="27"/>
  <c r="AC93" i="27"/>
  <c r="AD93" i="27"/>
  <c r="AE93" i="27"/>
  <c r="AF93" i="27"/>
  <c r="AG93" i="27"/>
  <c r="AH93" i="27"/>
  <c r="AI93" i="27"/>
  <c r="AJ93" i="27"/>
  <c r="AK93" i="27"/>
  <c r="AL93" i="27"/>
  <c r="AM93" i="27"/>
  <c r="B93" i="27"/>
  <c r="AM64" i="9"/>
  <c r="AM57" i="9"/>
  <c r="AL7" i="1"/>
  <c r="AH68" i="9" l="1"/>
  <c r="AJ67" i="9"/>
  <c r="AL27" i="13" l="1"/>
  <c r="AL64" i="9" l="1"/>
  <c r="AL57" i="9"/>
  <c r="E22" i="25"/>
  <c r="AK64" i="9"/>
  <c r="AK57" i="9"/>
  <c r="AG90" i="27" l="1"/>
  <c r="AK104" i="27"/>
  <c r="AK105" i="27"/>
  <c r="AK103" i="27"/>
  <c r="AJ103" i="27"/>
  <c r="AG67" i="27"/>
  <c r="AK7" i="1"/>
  <c r="I167" i="9"/>
  <c r="AE166" i="9"/>
  <c r="AD166" i="9"/>
  <c r="AI166" i="9"/>
  <c r="AH166" i="9"/>
  <c r="AG166" i="9"/>
  <c r="AF166" i="9"/>
  <c r="AC166" i="9"/>
  <c r="C165" i="9"/>
  <c r="D165" i="9"/>
  <c r="E165" i="9"/>
  <c r="F165" i="9"/>
  <c r="G165" i="9"/>
  <c r="H165" i="9"/>
  <c r="I165" i="9"/>
  <c r="B165" i="9"/>
  <c r="AG66" i="9"/>
  <c r="AH66" i="9"/>
  <c r="AI66" i="9"/>
  <c r="AJ66" i="9"/>
  <c r="AG67" i="9"/>
  <c r="AH67" i="9"/>
  <c r="AI67" i="9"/>
  <c r="AG68" i="9"/>
  <c r="AI68" i="9"/>
  <c r="AJ68" i="9"/>
  <c r="AG69" i="9"/>
  <c r="AH69" i="9"/>
  <c r="AI69" i="9"/>
  <c r="AJ69" i="9"/>
  <c r="AJ65" i="9"/>
  <c r="AI65" i="9"/>
  <c r="AH65" i="9"/>
  <c r="AG65" i="9"/>
  <c r="AH60" i="9"/>
  <c r="AG58" i="9"/>
  <c r="AG59" i="9"/>
  <c r="AH59" i="9"/>
  <c r="AI59" i="9"/>
  <c r="AJ59" i="9"/>
  <c r="AG60" i="9"/>
  <c r="AI60" i="9"/>
  <c r="AJ60" i="9"/>
  <c r="AG61" i="9"/>
  <c r="AH61" i="9"/>
  <c r="AI61" i="9"/>
  <c r="AJ61" i="9"/>
  <c r="AG62" i="9"/>
  <c r="AH62" i="9"/>
  <c r="AI62" i="9"/>
  <c r="AJ62" i="9"/>
  <c r="AJ58" i="9"/>
  <c r="AI58" i="9"/>
  <c r="AH58" i="9"/>
  <c r="AG52" i="9"/>
  <c r="AH52" i="9"/>
  <c r="AI52" i="9"/>
  <c r="AJ52" i="9"/>
  <c r="AG53" i="9"/>
  <c r="AH53" i="9"/>
  <c r="AI53" i="9"/>
  <c r="AJ53" i="9"/>
  <c r="AG54" i="9"/>
  <c r="AH54" i="9"/>
  <c r="AI54" i="9"/>
  <c r="AJ54" i="9"/>
  <c r="AG55" i="9"/>
  <c r="AH55" i="9"/>
  <c r="AI55" i="9"/>
  <c r="AJ55" i="9"/>
  <c r="AJ51" i="9"/>
  <c r="AI51" i="9"/>
  <c r="AH51" i="9"/>
  <c r="AG51" i="9"/>
  <c r="AH64" i="9"/>
  <c r="AI64" i="9"/>
  <c r="AJ64" i="9"/>
  <c r="AG64" i="9"/>
  <c r="AH57" i="9"/>
  <c r="AI57" i="9"/>
  <c r="AJ57" i="9"/>
  <c r="AG57" i="9"/>
  <c r="I64" i="9"/>
  <c r="I57" i="9"/>
  <c r="I66" i="9"/>
  <c r="I67" i="9"/>
  <c r="I68" i="9"/>
  <c r="I65" i="9"/>
  <c r="I59" i="9"/>
  <c r="I60" i="9"/>
  <c r="I61" i="9"/>
  <c r="I62" i="9"/>
  <c r="I58" i="9"/>
  <c r="I51" i="9"/>
  <c r="I52" i="9"/>
  <c r="I53" i="9"/>
  <c r="I54" i="9"/>
  <c r="I55" i="9"/>
  <c r="H166" i="9" l="1"/>
  <c r="I166" i="9"/>
  <c r="I104" i="27"/>
  <c r="I103" i="27"/>
  <c r="I91" i="27"/>
  <c r="I90" i="27"/>
  <c r="I85" i="27"/>
  <c r="I84" i="27"/>
  <c r="I68" i="27"/>
  <c r="I74" i="27" s="1"/>
  <c r="I73" i="27"/>
  <c r="I55" i="27"/>
  <c r="I54" i="27"/>
  <c r="AH104" i="27"/>
  <c r="AI104" i="27"/>
  <c r="AJ104" i="27"/>
  <c r="AG104" i="27"/>
  <c r="AH103" i="27"/>
  <c r="AI103" i="27"/>
  <c r="AG103" i="27"/>
  <c r="AH91" i="27"/>
  <c r="AI91" i="27"/>
  <c r="AJ91" i="27"/>
  <c r="AG91" i="27"/>
  <c r="AG88" i="27" s="1"/>
  <c r="AH90" i="27"/>
  <c r="AI90" i="27"/>
  <c r="AJ90" i="27"/>
  <c r="AH85" i="27"/>
  <c r="AI85" i="27"/>
  <c r="AJ85" i="27"/>
  <c r="AG85" i="27"/>
  <c r="AH84" i="27"/>
  <c r="AI84" i="27"/>
  <c r="AJ84" i="27"/>
  <c r="AG84" i="27"/>
  <c r="AH68" i="27"/>
  <c r="AH74" i="27" s="1"/>
  <c r="AI68" i="27"/>
  <c r="AI74" i="27" s="1"/>
  <c r="AJ68" i="27"/>
  <c r="AJ74" i="27" s="1"/>
  <c r="AG68" i="27"/>
  <c r="AG74" i="27" s="1"/>
  <c r="AH67" i="27"/>
  <c r="AH73" i="27" s="1"/>
  <c r="AI67" i="27"/>
  <c r="AI73" i="27" s="1"/>
  <c r="AJ67" i="27"/>
  <c r="AJ73" i="27" s="1"/>
  <c r="AG73" i="27"/>
  <c r="AH55" i="27"/>
  <c r="AI55" i="27"/>
  <c r="AJ55" i="27"/>
  <c r="AG55" i="27"/>
  <c r="AH54" i="27"/>
  <c r="AI54" i="27"/>
  <c r="AJ54" i="27"/>
  <c r="AG54" i="27"/>
  <c r="I105" i="27"/>
  <c r="G105" i="27"/>
  <c r="G104" i="27"/>
  <c r="G103" i="27"/>
  <c r="AD80" i="27"/>
  <c r="AC80" i="27"/>
  <c r="AB80" i="27"/>
  <c r="AA80" i="27"/>
  <c r="Z80" i="27"/>
  <c r="F80" i="27"/>
  <c r="Y78" i="27"/>
  <c r="Y80" i="27" s="1"/>
  <c r="H50" i="27"/>
  <c r="H49" i="27"/>
  <c r="H48" i="27"/>
  <c r="H47" i="27"/>
  <c r="H46" i="27"/>
  <c r="H45" i="27"/>
  <c r="H23" i="27"/>
  <c r="H22" i="27"/>
  <c r="H21" i="27"/>
  <c r="H20" i="27"/>
  <c r="H19" i="27"/>
  <c r="H99" i="27" s="1"/>
  <c r="H100" i="27" s="1"/>
  <c r="H18" i="27"/>
  <c r="H9" i="27"/>
  <c r="H8" i="27"/>
  <c r="H7" i="27"/>
  <c r="H6" i="27"/>
  <c r="H5" i="27"/>
  <c r="H4" i="27"/>
  <c r="E48" i="25"/>
  <c r="E47" i="25"/>
  <c r="E45" i="25"/>
  <c r="E43" i="25"/>
  <c r="E39" i="25"/>
  <c r="E34" i="25"/>
  <c r="E29" i="25"/>
  <c r="E26" i="25"/>
  <c r="AI88" i="27" l="1"/>
  <c r="I88" i="27"/>
  <c r="AH88" i="27"/>
  <c r="H95" i="27"/>
  <c r="H90" i="27"/>
  <c r="H94" i="27"/>
  <c r="H74" i="27"/>
  <c r="H96" i="27"/>
  <c r="AJ89" i="27"/>
  <c r="H104" i="27"/>
  <c r="H84" i="27"/>
  <c r="H85" i="27" s="1"/>
  <c r="H91" i="27"/>
  <c r="H105" i="27"/>
  <c r="AI89" i="27"/>
  <c r="H103" i="27"/>
  <c r="AH89" i="27"/>
  <c r="AJ88" i="27"/>
  <c r="H56" i="27"/>
  <c r="I89" i="27"/>
  <c r="H73" i="27"/>
  <c r="H54" i="27"/>
  <c r="H55" i="27"/>
  <c r="G80" i="27"/>
  <c r="H24" i="27"/>
  <c r="I24" i="27"/>
  <c r="H89" i="27" l="1"/>
  <c r="H88" i="27"/>
  <c r="I85" i="7"/>
  <c r="I84" i="7" l="1"/>
  <c r="I82" i="7" s="1"/>
  <c r="I91" i="7"/>
  <c r="I90" i="7"/>
  <c r="I89" i="7"/>
  <c r="I76" i="7"/>
  <c r="I77" i="7" s="1"/>
  <c r="I87" i="7"/>
  <c r="I80" i="7"/>
  <c r="I74" i="7"/>
  <c r="I67" i="7"/>
  <c r="I60" i="7"/>
  <c r="I53" i="7"/>
  <c r="I43" i="7"/>
  <c r="I36" i="7"/>
  <c r="I26" i="7"/>
  <c r="I83" i="7" l="1"/>
  <c r="AI50" i="9"/>
  <c r="AH50" i="9" l="1"/>
  <c r="AG50" i="9"/>
  <c r="G90" i="7" l="1"/>
  <c r="G89" i="7"/>
  <c r="G91" i="7"/>
  <c r="AB54" i="16" l="1"/>
  <c r="H54" i="16"/>
  <c r="H29" i="7" l="1"/>
  <c r="H30" i="7" l="1"/>
  <c r="H31" i="7"/>
  <c r="H32" i="7"/>
  <c r="H33" i="7"/>
  <c r="H28" i="7"/>
  <c r="H26" i="7"/>
  <c r="H15" i="7"/>
  <c r="H8" i="7"/>
  <c r="H9" i="7"/>
  <c r="H10" i="7"/>
  <c r="H11" i="7"/>
  <c r="H12" i="7"/>
  <c r="H91" i="7" s="1"/>
  <c r="H17" i="7"/>
  <c r="H18" i="7"/>
  <c r="H84" i="7" s="1"/>
  <c r="H19" i="7"/>
  <c r="H20" i="7"/>
  <c r="H39" i="7" s="1"/>
  <c r="H21" i="7"/>
  <c r="H22" i="7"/>
  <c r="H7" i="7"/>
  <c r="D24" i="7" l="1"/>
  <c r="I23" i="7"/>
  <c r="I24" i="7"/>
  <c r="H62" i="7"/>
  <c r="H76" i="7"/>
  <c r="H77" i="7" s="1"/>
  <c r="H40" i="7"/>
  <c r="F24" i="7"/>
  <c r="H85" i="7"/>
  <c r="H83" i="7" s="1"/>
  <c r="H23" i="7"/>
  <c r="C24" i="7"/>
  <c r="H90" i="7"/>
  <c r="H38" i="7"/>
  <c r="H24" i="7"/>
  <c r="G24" i="7"/>
  <c r="H63" i="7"/>
  <c r="H89" i="7"/>
  <c r="E24" i="7"/>
  <c r="H65" i="9"/>
  <c r="H69" i="9"/>
  <c r="H68" i="9"/>
  <c r="H67" i="9"/>
  <c r="H66" i="9"/>
  <c r="H62" i="9"/>
  <c r="H61" i="9"/>
  <c r="H60" i="9"/>
  <c r="H59" i="9"/>
  <c r="H58" i="9"/>
  <c r="H55" i="9"/>
  <c r="H54" i="9"/>
  <c r="H53" i="9"/>
  <c r="H52" i="9"/>
  <c r="H51" i="9"/>
  <c r="H82" i="7" l="1"/>
  <c r="G22" i="13"/>
  <c r="G18" i="13"/>
  <c r="AD88" i="7" l="1"/>
  <c r="AC88" i="7" l="1"/>
  <c r="AC81" i="7"/>
  <c r="AC75" i="7"/>
  <c r="AC68" i="7"/>
  <c r="AC61" i="7"/>
  <c r="AC54" i="7"/>
  <c r="AC44" i="7"/>
  <c r="AC37" i="7"/>
  <c r="AC27" i="7"/>
  <c r="AC16" i="7"/>
  <c r="AW13" i="19"/>
  <c r="AW23" i="19" s="1"/>
  <c r="F71" i="7" l="1"/>
  <c r="AB71" i="7"/>
  <c r="AA71" i="7"/>
  <c r="Z71" i="7"/>
  <c r="Y71" i="7"/>
  <c r="X71" i="7"/>
  <c r="W69" i="7"/>
  <c r="W71" i="7" s="1"/>
  <c r="G71" i="7" l="1"/>
  <c r="E64" i="13" l="1"/>
  <c r="AC18" i="13" l="1"/>
  <c r="AD18" i="13"/>
  <c r="AA18" i="13"/>
  <c r="E28" i="13" l="1"/>
  <c r="N30" i="13" l="1"/>
  <c r="O30" i="13"/>
  <c r="P30" i="13"/>
  <c r="M30" i="13"/>
  <c r="Q22" i="13"/>
  <c r="R22" i="13"/>
  <c r="S22" i="13"/>
  <c r="T22" i="13"/>
  <c r="U22" i="13"/>
  <c r="V22" i="13"/>
  <c r="W22" i="13"/>
  <c r="X22" i="13"/>
  <c r="Y22" i="13"/>
  <c r="Z22" i="13"/>
  <c r="AA22" i="13"/>
  <c r="AB22" i="13"/>
  <c r="N18" i="13"/>
  <c r="O18" i="13"/>
  <c r="P18" i="13"/>
  <c r="M18" i="13"/>
  <c r="N54" i="16" l="1"/>
  <c r="O54" i="16"/>
  <c r="P54" i="16"/>
  <c r="Q54" i="16"/>
  <c r="R54" i="16"/>
  <c r="S54" i="16"/>
  <c r="T54" i="16"/>
  <c r="U54" i="16"/>
  <c r="V54" i="16"/>
  <c r="W54" i="16"/>
  <c r="X54" i="16"/>
  <c r="M54" i="16"/>
  <c r="C54" i="16"/>
  <c r="B54" i="16"/>
  <c r="N22" i="13" l="1"/>
  <c r="O22" i="13"/>
  <c r="P22" i="13"/>
  <c r="C22" i="13"/>
  <c r="D22" i="13"/>
  <c r="E22" i="13"/>
  <c r="F22" i="13"/>
  <c r="B22" i="13"/>
  <c r="R18" i="13"/>
  <c r="S18" i="13"/>
  <c r="T18" i="13"/>
  <c r="U18" i="13"/>
  <c r="V18" i="13"/>
  <c r="W18" i="13"/>
  <c r="X18" i="13"/>
  <c r="Y18" i="13"/>
  <c r="Z18" i="13"/>
  <c r="AB18" i="13"/>
  <c r="Q18" i="13"/>
  <c r="C18" i="13"/>
  <c r="D18" i="13"/>
  <c r="E18" i="13"/>
  <c r="F18" i="13"/>
  <c r="B18" i="13"/>
  <c r="D54" i="16" l="1"/>
  <c r="E54" i="16"/>
  <c r="F54" i="16"/>
  <c r="G54" i="16"/>
  <c r="AN6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tc={848958A9-20D3-471E-B7B1-348E7E675B25}</author>
  </authors>
  <commentList>
    <comment ref="AQ10" authorId="0" shapeId="0" xr:uid="{848958A9-20D3-471E-B7B1-348E7E675B25}">
      <text>
        <t>[Threaded comment]
Your version of Excel allows you to read this threaded comment; however, any edits to it will get removed if the file is opened in a newer version of Excel. Learn more: https://go.microsoft.com/fwlink/?linkid=870924
Comment:
    Includes impairment of acquisition-related intangible assets of MSEK 302.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tc={059C6A9D-8676-4FCC-AC6D-1043EC857275}</author>
    <author>tc={C4F6B35F-AEC0-4F2C-A6AB-EF64CFAB3240}</author>
    <author>tc={F1EEDEDE-F6D6-408D-9FE7-BD8D0CAA71E8}</author>
    <author>tc={753266E8-528F-4F40-AB07-9A303334D48D}</author>
    <author>tc={866B083B-9408-4062-90F7-3502106AF793}</author>
    <author>tc={E659F588-ADF6-4B34-B26C-0E181B86912C}</author>
    <author>tc={68BC4610-6745-4655-9A65-5C8D2ADFC0DE}</author>
    <author>tc={00497446-11C5-4D30-91F0-2F3FBCF3C233}</author>
    <author>tc={C602C169-028C-4549-81B9-26ED6EF20543}</author>
    <author>tc={B10844F6-BC38-4273-8D25-ED325817C0BF}</author>
    <author>tc={F759A8C0-19C8-46B0-BCF8-9CCDFECA6C27}</author>
    <author>tc={3987014B-7C30-47F3-9121-80B6215D4742}</author>
    <author>tc={D6F53BF2-F053-460A-BFAD-7D456F0741CE}</author>
    <author>tc={5369ECBB-9AD1-42B1-96E1-BA7FEDB6AC0F}</author>
    <author>tc={5BEEAFAB-DB09-4F01-901D-90B92F8EF3C5}</author>
    <author>tc={D8F8E2DA-2361-41C5-A2BC-E973036BC377}</author>
    <author>tc={47C46AB2-4347-492B-8331-0CAE5C3ACF7D}</author>
    <author>tc={90321B59-51FA-4130-B875-0E6691D6D835}</author>
    <author>tc={D73932B1-6DE7-462C-8239-2945F519FB01}</author>
    <author>tc={2C231D49-77C4-4BC9-853E-9775A9B84582}</author>
    <author>tc={596D30B3-ADAF-4368-A071-CFC6DF1BD74E}</author>
    <author>tc={BCADD9A2-2B6E-4F24-A847-B15A641342C6}</author>
    <author>tc={78A4A173-0569-48CF-979B-3798BB4421C1}</author>
    <author>tc={EA448C0E-FA61-4302-8296-DBC7A4A8FFC1}</author>
    <author>tc={06C698DE-D457-4F67-9226-041F257276E8}</author>
    <author>tc={E48970DC-7C27-4044-A8E6-FDC3F3CC9307}</author>
    <author>tc={51A4EA31-307A-467B-B70C-B63D6832076B}</author>
    <author>tc={551587D5-3619-431F-8B14-63DB3DE33078}</author>
    <author>tc={24B719A8-BAA8-4017-8B0E-A1AD3409982D}</author>
    <author>tc={A8AD9050-8A29-4355-B10D-BAD9F5C48835}</author>
    <author>tc={B6E4A001-A2B7-46BA-9FC9-0F82C4B686DA}</author>
    <author>tc={250D66D7-2917-4DC9-BC10-29E50DEEC3E9}</author>
  </authors>
  <commentList>
    <comment ref="G3" authorId="0" shapeId="0" xr:uid="{059C6A9D-8676-4FCC-AC6D-1043EC857275}">
      <text>
        <t xml:space="preserve">[Threaded comment]
Your version of Excel allows you to read this threaded comment; however, any edits to it will get removed if the file is opened in a newer version of Excel. Learn more: https://go.microsoft.com/fwlink/?linkid=870924
Comment:
    The IT-function moved from group function to E&amp;S in Q2 2020. Figures for 2018 to Q1 2020 have been restated. </t>
      </text>
    </comment>
    <comment ref="I3" authorId="1" shapeId="0" xr:uid="{C4F6B35F-AEC0-4F2C-A6AB-EF64CFAB3240}">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3" authorId="2" shapeId="0" xr:uid="{F1EEDEDE-F6D6-408D-9FE7-BD8D0CAA71E8}">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J8" authorId="3" shapeId="0" xr:uid="{753266E8-528F-4F40-AB07-9A303334D48D}">
      <text>
        <t xml:space="preserve">[Threaded comment]
Your version of Excel allows you to read this threaded comment; however, any edits to it will get removed if the file is opened in a newer version of Excel. Learn more: https://go.microsoft.com/fwlink/?linkid=870924
Comment:
    Some equipment orders in North America were booked as operational lease, i.e has to be adjusted for. 
</t>
      </text>
    </comment>
    <comment ref="AM8" authorId="4" shapeId="0" xr:uid="{866B083B-9408-4062-90F7-3502106AF793}">
      <text>
        <t xml:space="preserve">[Threaded comment]
Your version of Excel allows you to read this threaded comment; however, any edits to it will get removed if the file is opened in a newer version of Excel. Learn more: https://go.microsoft.com/fwlink/?linkid=870924
Comment:
    A meaningful portion of MSEK 125 relates to late customer finance equipment orders in the quarter. These shall be allocated to North America. </t>
      </text>
    </comment>
    <comment ref="A12" authorId="5" shapeId="0" xr:uid="{E659F588-ADF6-4B34-B26C-0E181B86912C}">
      <text>
        <t xml:space="preserve">[Threaded comment]
Your version of Excel allows you to read this threaded comment; however, any edits to it will get removed if the file is opened in a newer version of Excel. Learn more: https://go.microsoft.com/fwlink/?linkid=870924
Comment:
    Until Q4 2023, Epiroc added order books from acquired businesses in Orders received. It was called “Orders on hand”. Since Q1 2024, only orders that was awarded in the actual quarter is included in Orders received. Any orderbook will be mentioned separately. 
</t>
      </text>
    </comment>
    <comment ref="AE13" authorId="6" shapeId="0" xr:uid="{68BC4610-6745-4655-9A65-5C8D2ADFC0DE}">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6%, whereof nearly half relates to booked orders-onhand of acquired companies (Meglab and Mining Tag). </t>
      </text>
    </comment>
    <comment ref="AH13" authorId="7" shapeId="0" xr:uid="{00497446-11C5-4D30-91F0-2F3FBCF3C233}">
      <text>
        <t xml:space="preserve">[Threaded comment]
Your version of Excel allows you to read this threaded comment; however, any edits to it will get removed if the file is opened in a newer version of Excel. Learn more: https://go.microsoft.com/fwlink/?linkid=870924
Comment:
    Acquisitions contributed 5%, whereof approximately 3 percentage points relates to orders-on-hand of the acquired company JTMEC. </t>
      </text>
    </comment>
    <comment ref="AJ13" authorId="8" shapeId="0" xr:uid="{C602C169-028C-4549-81B9-26ED6EF20543}">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had a positive impact of approximately 11% (RCT). </t>
      </text>
    </comment>
    <comment ref="AE14" authorId="9" shapeId="0" xr:uid="{B10844F6-BC38-4273-8D25-ED325817C0BF}">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11%, whereof approximately two thirds relates to booked orders-on-hand of acquired companies (DandA Heavy Industries). </t>
      </text>
    </comment>
    <comment ref="AJ14" authorId="10" shapeId="0" xr:uid="{F759A8C0-19C8-46B0-BCF8-9CCDFECA6C27}">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have a positive impact of approximately 1% (Wain Roy). </t>
      </text>
    </comment>
    <comment ref="AK14" authorId="11" shapeId="0" xr:uid="{3987014B-7C30-47F3-9121-80B6215D4742}">
      <text>
        <t xml:space="preserve">[Threaded comment]
Your version of Excel allows you to read this threaded comment; however, any edits to it will get removed if the file is opened in a newer version of Excel. Learn more: https://go.microsoft.com/fwlink/?linkid=870924
Comment:
    Figures in this table have been restated.
In the published report, acquisitions contributed with 24% (whereof orders on hand from CR of approximately 13 percentage points) </t>
      </text>
    </comment>
    <comment ref="AE15" authorId="12" shapeId="0" xr:uid="{D6F53BF2-F053-460A-BFAD-7D456F0741CE}">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7%, whereof approximately half relates to booked orders-on-hand of acquired companies. </t>
      </text>
    </comment>
    <comment ref="AH15" authorId="13" shapeId="0" xr:uid="{5369ECBB-9AD1-42B1-96E1-BA7FEDB6AC0F}">
      <text>
        <t xml:space="preserve">[Threaded comment]
Your version of Excel allows you to read this threaded comment; however, any edits to it will get removed if the file is opened in a newer version of Excel. Learn more: https://go.microsoft.com/fwlink/?linkid=870924
Comment:
    Acquisitions contributed with 5%, whereof close to half relates to orders-on-hand of the acquired company JTMEC. </t>
      </text>
    </comment>
    <comment ref="AJ15" authorId="14" shapeId="0" xr:uid="{5BEEAFAB-DB09-4F01-901D-90B92F8EF3C5}">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had a positive impact of approximately 9%. </t>
      </text>
    </comment>
    <comment ref="AK15" authorId="15" shapeId="0" xr:uid="{D8F8E2DA-2361-41C5-A2BC-E973036BC377}">
      <text>
        <t xml:space="preserve">[Threaded comment]
Your version of Excel allows you to read this threaded comment; however, any edits to it will get removed if the file is opened in a newer version of Excel. Learn more: https://go.microsoft.com/fwlink/?linkid=870924
Comment:
    Figures in this table have been restated.
In the published report, structure (acquisitions) contributed with 10% (whereof orders on hand of approximately 3 percentage points) </t>
      </text>
    </comment>
    <comment ref="A59" authorId="16" shapeId="0" xr:uid="{47C46AB2-4347-492B-8331-0CAE5C3ACF7D}">
      <text>
        <t xml:space="preserve">[Threaded comment]
Your version of Excel allows you to read this threaded comment; however, any edits to it will get removed if the file is opened in a newer version of Excel. Learn more: https://go.microsoft.com/fwlink/?linkid=870924
Comment:
    Generally, when the share price increases, it is a cost. When the share price decreases, it is a gain. </t>
      </text>
    </comment>
    <comment ref="AF62" authorId="17" shapeId="0" xr:uid="{90321B59-51FA-4130-B875-0E6691D6D835}">
      <text>
        <t>[Threaded comment]
Your version of Excel allows you to read this threaded comment; however, any edits to it will get removed if the file is opened in a newer version of Excel. Learn more: https://go.microsoft.com/fwlink/?linkid=870924
Comment:
    Q4 2021 includes a positive revaluation effect of the shares held prior to the acquisition of the remaining shares of Mobilaris of MSEK 167.</t>
      </text>
    </comment>
    <comment ref="AH62" authorId="18" shapeId="0" xr:uid="{D73932B1-6DE7-462C-8239-2945F519FB01}">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-327 and restructuring costs related to the
relocation of manufacturing from Japan to China of MSEK -95. </t>
      </text>
    </comment>
    <comment ref="AI62" authorId="19" shapeId="0" xr:uid="{2C231D49-77C4-4BC9-853E-9775A9B84582}">
      <text>
        <t>[Threaded comment]
Your version of Excel allows you to read this threaded comment; however, any edits to it will get removed if the file is opened in a newer version of Excel. Learn more: https://go.microsoft.com/fwlink/?linkid=870924
Comment:
    Provisions
related to Russia of MSEK -138</t>
      </text>
    </comment>
    <comment ref="AM62" authorId="20" shapeId="0" xr:uid="{596D30B3-ADAF-4368-A071-CFC6DF1BD74E}">
      <text>
        <t xml:space="preserve">[Threaded comment]
Your version of Excel allows you to read this threaded comment; however, any edits to it will get removed if the file is opened in a newer version of Excel. Learn more: https://go.microsoft.com/fwlink/?linkid=870924
Comment:
    Remeasurement related to a prior year acquisition of MSEK 7 </t>
      </text>
    </comment>
    <comment ref="AN62" authorId="21" shapeId="0" xr:uid="{BCADD9A2-2B6E-4F24-A847-B15A641342C6}">
      <text>
        <t>[Threaded comment]
Your version of Excel allows you to read this threaded comment; however, any edits to it will get removed if the file is opened in a newer version of Excel. Learn more: https://go.microsoft.com/fwlink/?linkid=870924
Comment:
    Equipment &amp; Service included items affecting comparability of MSEK 280. This is mainly explained by a capital gain from the sale of the property in Japan of MSEK 436, earn-out payments for acquisitions of MSEK -58 and other costs of MSEK -98.</t>
      </text>
    </comment>
    <comment ref="AP62" authorId="22" shapeId="0" xr:uid="{78A4A173-0569-48CF-979B-3798BB4421C1}">
      <text>
        <t xml:space="preserve">[Threaded comment]
Your version of Excel allows you to read this threaded comment; however, any edits to it will get removed if the file is opened in a newer version of Excel. Learn more: https://go.microsoft.com/fwlink/?linkid=870924
Comment:
    Items affecting comparability amounted to MSEK -142 (0), including earn-out for RCT of MSEK -73 as well as restructuring costs of MSEK -69. </t>
      </text>
    </comment>
    <comment ref="AQ62" authorId="23" shapeId="0" xr:uid="{EA448C0E-FA61-4302-8296-DBC7A4A8FFC1}">
      <text>
        <t xml:space="preserve">[Threaded comment]
Your version of Excel allows you to read this threaded comment; however, any edits to it will get removed if the file is opened in a newer version of Excel. Learn more: https://go.microsoft.com/fwlink/?linkid=870924
Comment:
    In Q3, Equipment &amp; Service included items affecting comparability of net MSEK 208 (positive revaluation effect of the shares held prior to the acquisition of ASI Mining MSEK +554 and impairments of intangible assets related to acquisitions of MSEK -346). </t>
      </text>
    </comment>
    <comment ref="AR62" authorId="24" shapeId="0" xr:uid="{06C698DE-D457-4F67-9226-041F257276E8}">
      <text>
        <t>[Threaded comment]
Your version of Excel allows you to read this threaded comment; however, any edits to it will get removed if the file is opened in a newer version of Excel. Learn more: https://go.microsoft.com/fwlink/?linkid=870924
Comment:
    Earn out for the acquisition of RCT.</t>
      </text>
    </comment>
    <comment ref="AT62" authorId="25" shapeId="0" xr:uid="{E48970DC-7C27-4044-A8E6-FDC3F3CC9307}">
      <text>
        <t xml:space="preserve">[Threaded comment]
Your version of Excel allows you to read this threaded comment; however, any edits to it will get removed if the file is opened in a newer version of Excel. Learn more: https://go.microsoft.com/fwlink/?linkid=870924
Comment:
    Cost taken to increase efficiency onwards. </t>
      </text>
    </comment>
    <comment ref="AH63" authorId="26" shapeId="0" xr:uid="{51A4EA31-307A-467B-B70C-B63D6832076B}">
      <text>
        <t>[Threaded comment]
Your version of Excel allows you to read this threaded comment; however, any edits to it will get removed if the file is opened in a newer version of Excel. Learn more: https://go.microsoft.com/fwlink/?linkid=870924
Comment:
    Provisions of MSEK -73 related to Russia</t>
      </text>
    </comment>
    <comment ref="AI63" authorId="27" shapeId="0" xr:uid="{551587D5-3619-431F-8B14-63DB3DE33078}">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-12. </t>
      </text>
    </comment>
    <comment ref="AN63" authorId="28" shapeId="0" xr:uid="{24B719A8-BAA8-4017-8B0E-A1AD3409982D}">
      <text>
        <t>[Threaded comment]
Your version of Excel allows you to read this threaded comment; however, any edits to it will get removed if the file is opened in a newer version of Excel. Learn more: https://go.microsoft.com/fwlink/?linkid=870924
Comment:
    Tools &amp; Attachments included items affecting comparability of MSEK -158, which is related to the planned closure of the manufacturing plant in Essen, Germany.</t>
      </text>
    </comment>
    <comment ref="AO63" authorId="29" shapeId="0" xr:uid="{A8AD9050-8A29-4355-B10D-BAD9F5C48835}">
      <text>
        <t xml:space="preserve">[Threaded comment]
Your version of Excel allows you to read this threaded comment; however, any edits to it will get removed if the file is opened in a newer version of Excel. Learn more: https://go.microsoft.com/fwlink/?linkid=870924
Comment:
    Transaction and integration costs for M&amp;A. (Stanley Infrastructure) </t>
      </text>
    </comment>
    <comment ref="AP63" authorId="30" shapeId="0" xr:uid="{B6E4A001-A2B7-46BA-9FC9-0F82C4B686DA}">
      <text>
        <t xml:space="preserve">[Threaded comment]
Your version of Excel allows you to read this threaded comment; however, any edits to it will get removed if the file is opened in a newer version of Excel. Learn more: https://go.microsoft.com/fwlink/?linkid=870924
Comment:
    Items affecting comparability amounted to MSEK -165 (0), including transaction and integration costs for acquisitions of MSEK -130 and restructuring costs of MSEK -35. </t>
      </text>
    </comment>
    <comment ref="AT63" authorId="31" shapeId="0" xr:uid="{250D66D7-2917-4DC9-BC10-29E50DEEC3E9}">
      <text>
        <t xml:space="preserve">[Threaded comment]
Your version of Excel allows you to read this threaded comment; however, any edits to it will get removed if the file is opened in a newer version of Excel. Learn more: https://go.microsoft.com/fwlink/?linkid=870924
Comment:
    MSEK 70 relates to closure of tools manufacturing in Canada, which is moved to Mexico. The rest is cost taken to improve efficiency onwards.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tc={0EB5DDEA-28FD-4B9E-9593-0564C0F23E71}</author>
    <author>tc={E4D75069-6281-485C-8656-7311AF2F157B}</author>
    <author>tc={1C7CEEA3-6D9B-4A74-AD2D-BE4C0520B786}</author>
    <author>tc={D12740B5-2F4C-4CBA-9CC8-3BECD49C0A88}</author>
    <author>tc={051EBDA0-C2E8-444D-A0D6-DA8C55EBBA8D}</author>
  </authors>
  <commentList>
    <comment ref="I3" authorId="0" shapeId="0" xr:uid="{0EB5DDEA-28FD-4B9E-9593-0564C0F23E71}">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3" authorId="1" shapeId="0" xr:uid="{E4D75069-6281-485C-8656-7311AF2F157B}">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165" authorId="2" shapeId="0" xr:uid="{1C7CEEA3-6D9B-4A74-AD2D-BE4C0520B786}">
      <text>
        <t xml:space="preserve">[Threaded comment]
Your version of Excel allows you to read this threaded comment; however, any edits to it will get removed if the file is opened in a newer version of Excel. Learn more: https://go.microsoft.com/fwlink/?linkid=870924
Comment:
    Epiroc stopped deliveries to Russia 2022-03-01. 
Exploration moved from T&amp;A to E&amp;S (Equipment) in Q1 2023. Figures for 2022 have been restated. </t>
      </text>
    </comment>
    <comment ref="AH165" authorId="3" shapeId="0" xr:uid="{D12740B5-2F4C-4CBA-9CC8-3BECD49C0A88}">
      <text>
        <t xml:space="preserve">[Threaded comment]
Your version of Excel allows you to read this threaded comment; however, any edits to it will get removed if the file is opened in a newer version of Excel. Learn more: https://go.microsoft.com/fwlink/?linkid=870924
Comment:
    Customer cancellations in Russia of MSEK 400
</t>
      </text>
    </comment>
    <comment ref="AI165" authorId="4" shapeId="0" xr:uid="{051EBDA0-C2E8-444D-A0D6-DA8C55EBBA8D}">
      <text>
        <t xml:space="preserve">[Threaded comment]
Your version of Excel allows you to read this threaded comment; however, any edits to it will get removed if the file is opened in a newer version of Excel. Learn more: https://go.microsoft.com/fwlink/?linkid=870924
Comment:
    Russian orderbook removed. Will not be delivered.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tc={F75ED965-44F3-41E4-A95D-0D3FA8E9EEFC}</author>
    <author>tc={319747BE-1BB0-446C-9FE4-D29E8D1650AE}</author>
    <author>tc={930522E8-26EB-49B3-AC1A-2FC3A8FFA62A}</author>
    <author>tc={36727E76-1D74-43FE-BFCD-CD045DFC7A15}</author>
  </authors>
  <commentList>
    <comment ref="AN24" authorId="0" shapeId="0" xr:uid="{F75ED965-44F3-41E4-A95D-0D3FA8E9EEFC}">
      <text>
        <t>[Threaded comment]
Your version of Excel allows you to read this threaded comment; however, any edits to it will get removed if the file is opened in a newer version of Excel. Learn more: https://go.microsoft.com/fwlink/?linkid=870924
Comment:
    This is mainly explained by a capital gain from a sale of a property in Japan of MSEK 436.</t>
      </text>
    </comment>
    <comment ref="AI31" authorId="1" shapeId="0" xr:uid="{319747BE-1BB0-446C-9FE4-D29E8D1650AE}">
      <text>
        <t>[Threaded comment]
Your version of Excel allows you to read this threaded comment; however, any edits to it will get removed if the file is opened in a newer version of Excel. Learn more: https://go.microsoft.com/fwlink/?linkid=870924
Comment:
    In the third quarter 2022, Epiroc acquired the full remaining non-controlling interest of Epiroc Mining India Ltd for MSEK -173.</t>
      </text>
    </comment>
    <comment ref="AN31" authorId="2" shapeId="0" xr:uid="{930522E8-26EB-49B3-AC1A-2FC3A8FFA62A}">
      <text>
        <t xml:space="preserve">[Threaded comment]
Your version of Excel allows you to read this threaded comment; however, any edits to it will get removed if the file is opened in a newer version of Excel. Learn more: https://go.microsoft.com/fwlink/?linkid=870924
Comment:
    Increased ownership in Radlink. Prev. Ownership was 53%. </t>
      </text>
    </comment>
    <comment ref="AT31" authorId="3" shapeId="0" xr:uid="{36727E76-1D74-43FE-BFCD-CD045DFC7A15}">
      <text>
        <t xml:space="preserve">[Threaded comment]
Your version of Excel allows you to read this threaded comment; however, any edits to it will get removed if the file is opened in a newer version of Excel. Learn more: https://go.microsoft.com/fwlink/?linkid=870924
Comment:
    The transaction related to the acquisition of the minority share of Radlink led to MSEK -355 in cash flow from financing activities.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tc={C40CF58A-8E14-4FB6-8FB7-999486307E95}</author>
    <author>tc={3E22A4E0-5FA5-4E16-A431-ACCE3F6DAC62}</author>
    <author>tc={DD7E1653-C739-43D3-89EA-726D332E5658}</author>
    <author>tc={B3E01431-9A6D-46A5-B214-E53B9D498D05}</author>
    <author>tc={A805AD51-7479-4FE0-B7B3-FC2036E204F9}</author>
    <author>tc={5D35B491-88FA-4B8B-8A75-403CFEF03094}</author>
    <author>tc={3DC45AE5-B950-40DE-8024-2F6A70497AD5}</author>
    <author>tc={9DBF0F52-DA9A-422F-B6E0-5BF2B57E7C6C}</author>
    <author>tc={7FF7AD58-C3C3-4974-A130-98EF633FEDC1}</author>
    <author>tc={FE9ADD88-CB0B-4FE2-9774-271FCAF651FD}</author>
    <author>tc={8A51E063-8EB8-4A1F-8ACC-AFD1BCDEA8E1}</author>
    <author>tc={FED1258D-8B31-4865-86DF-EB961FD77535}</author>
    <author>tc={102698CD-B30C-4DCC-9257-9592564447C8}</author>
    <author>tc={1ED4D25E-A2DE-4DA5-9D14-233A317851AE}</author>
    <author>tc={EFB49135-B39F-4ACE-9609-607A119DC7B9}</author>
    <author>tc={7D2C0469-0878-4516-81F1-C112B2F19865}</author>
    <author>tc={859EB98C-4FA0-4837-9720-0AEC84EA946D}</author>
    <author>tc={1FE664A9-7156-4724-94E9-E0F2BEAA65EA}</author>
    <author>tc={702715CB-1D15-400F-B7F6-23726CC0FA43}</author>
    <author>tc={7E5FD148-6248-4B57-A255-CA813A9592D6}</author>
    <author>tc={21C0A976-EFB4-47EE-B0AA-1B7C0EE73B30}</author>
    <author>tc={2B542D22-BD73-479A-A5FD-0FF6AEC9716B}</author>
    <author>tc={0672675B-5B81-4D76-82DF-B8F2CB5D4B1D}</author>
    <author>tc={18E3D3A4-E6FF-4449-BFEC-E3807944C801}</author>
    <author>tc={37476E75-AE27-44CB-83C3-26A8EF16D837}</author>
    <author>tc={0754058B-5176-4D72-B83D-F51EB9E16DA0}</author>
  </authors>
  <commentList>
    <comment ref="AG7" authorId="0" shapeId="0" xr:uid="{C40CF58A-8E14-4FB6-8FB7-999486307E95}">
      <text>
        <t xml:space="preserve">[Threaded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
</t>
      </text>
    </comment>
    <comment ref="AG9" authorId="1" shapeId="0" xr:uid="{3E22A4E0-5FA5-4E16-A431-ACCE3F6DAC62}">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10" authorId="2" shapeId="0" xr:uid="{DD7E1653-C739-43D3-89EA-726D332E5658}">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10" authorId="3" shapeId="0" xr:uid="{B3E01431-9A6D-46A5-B214-E53B9D498D05}">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10" authorId="4" shapeId="0" xr:uid="{A805AD51-7479-4FE0-B7B3-FC2036E204F9}">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10" authorId="5" shapeId="0" xr:uid="{5D35B491-88FA-4B8B-8A75-403CFEF03094}">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D15" authorId="6" shapeId="0" xr:uid="{3DC45AE5-B950-40DE-8024-2F6A70497AD5}">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E15" authorId="7" shapeId="0" xr:uid="{9DBF0F52-DA9A-422F-B6E0-5BF2B57E7C6C}">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F15" authorId="8" shapeId="0" xr:uid="{7FF7AD58-C3C3-4974-A130-98EF633FEDC1}">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G15" authorId="9" shapeId="0" xr:uid="{FE9ADD88-CB0B-4FE2-9774-271FCAF651FD}">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H15" authorId="10" shapeId="0" xr:uid="{8A51E063-8EB8-4A1F-8ACC-AFD1BCDEA8E1}">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I15" authorId="11" shapeId="0" xr:uid="{FED1258D-8B31-4865-86DF-EB961FD77535}">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G17" authorId="12" shapeId="0" xr:uid="{102698CD-B30C-4DCC-9257-9592564447C8}">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19" authorId="13" shapeId="0" xr:uid="{1ED4D25E-A2DE-4DA5-9D14-233A317851AE}">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20" authorId="14" shapeId="0" xr:uid="{EFB49135-B39F-4ACE-9609-607A119DC7B9}">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20" authorId="15" shapeId="0" xr:uid="{7D2C0469-0878-4516-81F1-C112B2F19865}">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20" authorId="16" shapeId="0" xr:uid="{859EB98C-4FA0-4837-9720-0AEC84EA946D}">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20" authorId="17" shapeId="0" xr:uid="{1FE664A9-7156-4724-94E9-E0F2BEAA65EA}">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35" authorId="18" shapeId="0" xr:uid="{702715CB-1D15-400F-B7F6-23726CC0FA43}">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36" authorId="19" shapeId="0" xr:uid="{7E5FD148-6248-4B57-A255-CA813A9592D6}">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43" authorId="20" shapeId="0" xr:uid="{21C0A976-EFB4-47EE-B0AA-1B7C0EE73B30}">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44" authorId="21" shapeId="0" xr:uid="{2B542D22-BD73-479A-A5FD-0FF6AEC9716B}">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46" authorId="22" shapeId="0" xr:uid="{0672675B-5B81-4D76-82DF-B8F2CB5D4B1D}">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46" authorId="23" shapeId="0" xr:uid="{18E3D3A4-E6FF-4449-BFEC-E3807944C801}">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46" authorId="24" shapeId="0" xr:uid="{37476E75-AE27-44CB-83C3-26A8EF16D837}">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46" authorId="25" shapeId="0" xr:uid="{0754058B-5176-4D72-B83D-F51EB9E16DA0}">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tc={AFA6D4B9-EB2D-4624-96B3-1BD51D942345}</author>
    <author>tc={9F2C74F6-79A1-4287-95A6-9301B90A13BB}</author>
    <author>tc={45D82EE9-6AEB-4E09-886E-2CA8FD33F90D}</author>
    <author>tc={A143CD13-D4EF-4E7D-AD85-8880231239E3}</author>
    <author>tc={BDDBCCA0-C83B-40DC-90AF-C02759E20F9C}</author>
    <author>tc={75F062F8-8FA5-4221-8E9C-890F3B8DE69C}</author>
  </authors>
  <commentList>
    <comment ref="H123" authorId="0" shapeId="0" xr:uid="{AFA6D4B9-EB2D-4624-96B3-1BD51D942345}">
      <text>
        <t>[Threaded comment]
Your version of Excel allows you to read this threaded comment; however, any edits to it will get removed if the file is opened in a newer version of Excel. Learn more: https://go.microsoft.com/fwlink/?linkid=870924
Comment:
    2023-06</t>
      </text>
    </comment>
    <comment ref="H124" authorId="1" shapeId="0" xr:uid="{9F2C74F6-79A1-4287-95A6-9301B90A13BB}">
      <text>
        <t>[Threaded comment]
Your version of Excel allows you to read this threaded comment; however, any edits to it will get removed if the file is opened in a newer version of Excel. Learn more: https://go.microsoft.com/fwlink/?linkid=870924
Comment:
    2023-03</t>
      </text>
    </comment>
    <comment ref="H125" authorId="2" shapeId="0" xr:uid="{45D82EE9-6AEB-4E09-886E-2CA8FD33F90D}">
      <text>
        <t>[Threaded comment]
Your version of Excel allows you to read this threaded comment; however, any edits to it will get removed if the file is opened in a newer version of Excel. Learn more: https://go.microsoft.com/fwlink/?linkid=870924
Comment:
    2023-06 (G)  2024-03 (E&amp;S)</t>
      </text>
    </comment>
    <comment ref="H126" authorId="3" shapeId="0" xr:uid="{A143CD13-D4EF-4E7D-AD85-8880231239E3}">
      <text>
        <t>[Threaded comment]
Your version of Excel allows you to read this threaded comment; however, any edits to it will get removed if the file is opened in a newer version of Excel. Learn more: https://go.microsoft.com/fwlink/?linkid=870924
Comment:
    2023-12</t>
      </text>
    </comment>
    <comment ref="H127" authorId="4" shapeId="0" xr:uid="{BDDBCCA0-C83B-40DC-90AF-C02759E20F9C}">
      <text>
        <t>[Threaded comment]
Your version of Excel allows you to read this threaded comment; however, any edits to it will get removed if the file is opened in a newer version of Excel. Learn more: https://go.microsoft.com/fwlink/?linkid=870924
Comment:
    2024-02</t>
      </text>
    </comment>
    <comment ref="I127" authorId="5" shapeId="0" xr:uid="{75F062F8-8FA5-4221-8E9C-890F3B8DE69C}">
      <text>
        <t xml:space="preserve">[Threaded comment]
Your version of Excel allows you to read this threaded comment; however, any edits to it will get removed if the file is opened in a newer version of Excel. Learn more: https://go.microsoft.com/fwlink/?linkid=870924
Comment:
    New questionnaire.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tc={A6D76879-2F92-4561-8549-079995D0B509}</author>
    <author>tc={F339E576-62A0-438C-A75A-69FEE1618A19}</author>
    <author>tc={D84D0BF3-4AE2-41E3-9D70-F9749E5AE601}</author>
  </authors>
  <commentList>
    <comment ref="F11" authorId="0" shapeId="0" xr:uid="{A6D76879-2F92-4561-8549-079995D0B509}">
      <text>
        <t xml:space="preserve">[Threaded comment]
Your version of Excel allows you to read this threaded comment; however, any edits to it will get removed if the file is opened in a newer version of Excel. Learn more: https://go.microsoft.com/fwlink/?linkid=870924
Comment:
    The Schramm assets are not considered to be M&amp;A. Everything is reported organically. </t>
      </text>
    </comment>
    <comment ref="H17" authorId="1" shapeId="0" xr:uid="{F339E576-62A0-438C-A75A-69FEE1618A19}">
      <text>
        <t xml:space="preserve">[Threaded comment]
Your version of Excel allows you to read this threaded comment; however, any edits to it will get removed if the file is opened in a newer version of Excel. Learn more: https://go.microsoft.com/fwlink/?linkid=870924
Comment:
    In Q4, 2023, Epiroc increased its holding. New ownership percent not disclosed. </t>
      </text>
    </comment>
    <comment ref="AO20" authorId="2" shapeId="0" xr:uid="{D84D0BF3-4AE2-41E3-9D70-F9749E5AE601}">
      <text>
        <t>[Threaded comment]
Your version of Excel allows you to read this threaded comment; however, any edits to it will get removed if the file is opened in a newer version of Excel. Learn more: https://go.microsoft.com/fwlink/?linkid=870924
Comment:
    Includes IAC</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tc={8B3DB8A1-8BDB-4106-A3D0-15839D0CE9BE}</author>
    <author>tc={63E35C28-3822-46A4-9760-90A05B6D77F5}</author>
    <author>tc={837DF2F5-52F8-4902-8EE1-8E9F2978D1A7}</author>
    <author>tc={80817C66-2008-48F5-8C02-8F683C5692CD}</author>
    <author>tc={ADDD9B56-12C1-4FD5-8450-0434D159CE3B}</author>
  </authors>
  <commentList>
    <comment ref="AD48" authorId="0" shapeId="0" xr:uid="{8B3DB8A1-8BDB-4106-A3D0-15839D0CE9BE}">
      <text>
        <t>[Threaded comment]
Your version of Excel allows you to read this threaded comment; however, any edits to it will get removed if the file is opened in a newer version of Excel. Learn more: https://go.microsoft.com/fwlink/?linkid=870924
Comment:
    Q4 2021 includes a positive revaluation effect of the shares held prior to the acquisition of the remaining shares of Mobilaris of MSEK 167.</t>
      </text>
    </comment>
    <comment ref="AF48" authorId="1" shapeId="0" xr:uid="{63E35C28-3822-46A4-9760-90A05B6D77F5}">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-327 and restructuring costs related to the
relocation of manufacturing from Japan to China of MSEK -95. </t>
      </text>
    </comment>
    <comment ref="AG48" authorId="2" shapeId="0" xr:uid="{837DF2F5-52F8-4902-8EE1-8E9F2978D1A7}">
      <text>
        <t>[Threaded comment]
Your version of Excel allows you to read this threaded comment; however, any edits to it will get removed if the file is opened in a newer version of Excel. Learn more: https://go.microsoft.com/fwlink/?linkid=870924
Comment:
    Provisions
related to Russia of MSEK -138</t>
      </text>
    </comment>
    <comment ref="AF49" authorId="3" shapeId="0" xr:uid="{80817C66-2008-48F5-8C02-8F683C5692CD}">
      <text>
        <t>[Threaded comment]
Your version of Excel allows you to read this threaded comment; however, any edits to it will get removed if the file is opened in a newer version of Excel. Learn more: https://go.microsoft.com/fwlink/?linkid=870924
Comment:
    Provisions of MSEK -73 related to Russia</t>
      </text>
    </comment>
    <comment ref="AG49" authorId="4" shapeId="0" xr:uid="{ADDD9B56-12C1-4FD5-8450-0434D159CE3B}">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-12.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tc={C3B879DA-3217-4C6A-BF7A-6D91CE01A558}</author>
    <author>acpkl</author>
  </authors>
  <commentList>
    <comment ref="A35" authorId="0" shapeId="0" xr:uid="{C3B879DA-3217-4C6A-BF7A-6D91CE01A558}">
      <text>
        <t xml:space="preserve">[Threaded comment]
Your version of Excel allows you to read this threaded comment; however, any edits to it will get removed if the file is opened in a newer version of Excel. Learn more: https://go.microsoft.com/fwlink/?linkid=870924
Comment:
    It covers various offering such as construction tools, road construction, and specialty rental solutions.  </t>
      </text>
    </comment>
    <comment ref="N52" authorId="1" shapeId="0" xr:uid="{B3F6F87A-8B28-4F33-8323-48C37EAF5CC6}">
      <text>
        <r>
          <rPr>
            <b/>
            <sz val="8"/>
            <color indexed="81"/>
            <rFont val="Tahoma"/>
            <family val="2"/>
          </rPr>
          <t>Continuing operations are included in Compressor Technique</t>
        </r>
        <r>
          <rPr>
            <sz val="8"/>
            <color indexed="81"/>
            <rFont val="Tahoma"/>
            <family val="2"/>
          </rPr>
          <t xml:space="preserve">
</t>
        </r>
      </text>
    </comment>
    <comment ref="A62" authorId="1" shapeId="0" xr:uid="{6AEC9788-7DFC-4FE7-86F5-B123D73141AE}">
      <text>
        <r>
          <rPr>
            <sz val="8"/>
            <color indexed="81"/>
            <rFont val="Tahoma"/>
            <family val="2"/>
          </rPr>
          <t xml:space="preserve">Items affecting comparability with the same period previous year. </t>
        </r>
      </text>
    </comment>
    <comment ref="T63" authorId="1" shapeId="0" xr:uid="{BF079925-7618-4C52-8289-BB5C41B82D64}">
      <text>
        <r>
          <rPr>
            <sz val="8"/>
            <color indexed="81"/>
            <rFont val="Tahoma"/>
            <family val="2"/>
          </rPr>
          <t xml:space="preserve">Restructuring costs within the Road Construction Equipment division and costs for reduction in workforce
</t>
        </r>
      </text>
    </comment>
  </commentList>
</comments>
</file>

<file path=xl/sharedStrings.xml><?xml version="1.0" encoding="utf-8"?>
<sst xmlns="http://schemas.openxmlformats.org/spreadsheetml/2006/main" count="6065" uniqueCount="1304">
  <si>
    <t>Revenues</t>
  </si>
  <si>
    <t>Cost of sales</t>
  </si>
  <si>
    <t>Gross profit</t>
  </si>
  <si>
    <t>Marketing expenses</t>
  </si>
  <si>
    <t>Administrative expenses</t>
  </si>
  <si>
    <t>Research and development costs</t>
  </si>
  <si>
    <t>Operating profit</t>
  </si>
  <si>
    <t>Operating margin</t>
  </si>
  <si>
    <t>Net financial items</t>
  </si>
  <si>
    <t>Profit before tax</t>
  </si>
  <si>
    <t>Profit for the period</t>
  </si>
  <si>
    <t>Profit for the period attributable to owners of the parent</t>
  </si>
  <si>
    <t>Profit for the period attributable to non-controlling interests</t>
  </si>
  <si>
    <t>Orders received</t>
  </si>
  <si>
    <t>Q1</t>
  </si>
  <si>
    <t>Q2</t>
  </si>
  <si>
    <t>Q3</t>
  </si>
  <si>
    <t>Q4</t>
  </si>
  <si>
    <t>Consolidated Balance Sheet</t>
  </si>
  <si>
    <t>Intangible assets</t>
  </si>
  <si>
    <t>Rental equipment</t>
  </si>
  <si>
    <t>Other property, plant and equipment</t>
  </si>
  <si>
    <t>Deferred tax assets</t>
  </si>
  <si>
    <t>Total non-current assets</t>
  </si>
  <si>
    <t>Inventories</t>
  </si>
  <si>
    <t>Cash and cash equivalents</t>
  </si>
  <si>
    <t>Total current assets</t>
  </si>
  <si>
    <t>Equity attributable to owners of the parent</t>
  </si>
  <si>
    <t>Post-employment benefits</t>
  </si>
  <si>
    <t>Total non-current liabilities</t>
  </si>
  <si>
    <t>Total current liabilities</t>
  </si>
  <si>
    <t>Total assets</t>
  </si>
  <si>
    <t xml:space="preserve">Currency, % </t>
  </si>
  <si>
    <t xml:space="preserve">Total, % </t>
  </si>
  <si>
    <t xml:space="preserve">Revenues </t>
  </si>
  <si>
    <t>Epiroc Group</t>
  </si>
  <si>
    <t>Change in working capital</t>
  </si>
  <si>
    <t>Increase in rental equipment</t>
  </si>
  <si>
    <t>Capital gain/loss and other non-cash items</t>
  </si>
  <si>
    <t>Net financial items received/paid</t>
  </si>
  <si>
    <t>Taxes paid</t>
  </si>
  <si>
    <t>Pension funding and payment of pension to employees</t>
  </si>
  <si>
    <t>Sale of rental equipment</t>
  </si>
  <si>
    <t>Net cash from operating activities</t>
  </si>
  <si>
    <t>Cash flows from investing activities</t>
  </si>
  <si>
    <t>Investments in intangible assets</t>
  </si>
  <si>
    <t>Sale of intangible assets</t>
  </si>
  <si>
    <t>Net cash from investing activities</t>
  </si>
  <si>
    <t>Cash flows from financing activities</t>
  </si>
  <si>
    <t>Dividends paid to non-controlling interest</t>
  </si>
  <si>
    <t>Acquisition of non-controlling interest</t>
  </si>
  <si>
    <t>Change in interest-bearing liabilities</t>
  </si>
  <si>
    <t>Net cash from financing activities</t>
  </si>
  <si>
    <t>Net cash flow for the period</t>
  </si>
  <si>
    <t xml:space="preserve">Cash and cash equivalents, beginning of the period </t>
  </si>
  <si>
    <t>Exchange differences in cash and cash equivalents</t>
  </si>
  <si>
    <t>Cash and cash equivalents, end of the period</t>
  </si>
  <si>
    <t>Consolidated Statement of Cash Flow</t>
  </si>
  <si>
    <t>Of which interest net</t>
  </si>
  <si>
    <t>Full year</t>
  </si>
  <si>
    <t>Equipment</t>
  </si>
  <si>
    <t>Total equities and liabilities</t>
  </si>
  <si>
    <t>Epiroc group</t>
  </si>
  <si>
    <t>North America</t>
  </si>
  <si>
    <t>South America</t>
  </si>
  <si>
    <t>Africa/Middle East</t>
  </si>
  <si>
    <t>Services</t>
  </si>
  <si>
    <t>Europe</t>
  </si>
  <si>
    <t>Organic, %</t>
  </si>
  <si>
    <t>Operating margin, %</t>
  </si>
  <si>
    <t>Equipment &amp; Services</t>
  </si>
  <si>
    <t>Tools &amp; Attachments</t>
  </si>
  <si>
    <t>Service</t>
  </si>
  <si>
    <t>Equipment &amp; Service</t>
  </si>
  <si>
    <t>Financial income</t>
  </si>
  <si>
    <t>Financial expenses</t>
  </si>
  <si>
    <t>Income tax receivables</t>
  </si>
  <si>
    <t xml:space="preserve">Financial assets </t>
  </si>
  <si>
    <t>Share capital</t>
  </si>
  <si>
    <t>Retained earnings</t>
  </si>
  <si>
    <t>Cash flow from operating activities</t>
  </si>
  <si>
    <t>Total, %</t>
  </si>
  <si>
    <t xml:space="preserve">Trade payables </t>
  </si>
  <si>
    <t>Other liabilities and provisions</t>
  </si>
  <si>
    <t>Geographical distribution of revenues</t>
  </si>
  <si>
    <t>Asia/Australia</t>
  </si>
  <si>
    <t>Share of profits of associates</t>
  </si>
  <si>
    <t>Profit margin</t>
  </si>
  <si>
    <t>Other cash flow from transactions with shareholders</t>
  </si>
  <si>
    <t>Dividends paid to Atlas Copco</t>
  </si>
  <si>
    <t>Net debt</t>
  </si>
  <si>
    <t>Total equity</t>
  </si>
  <si>
    <t>Geographical distribution of orders received</t>
  </si>
  <si>
    <t>Depreciation, amortization and impairment</t>
  </si>
  <si>
    <t>Geographical distribution Orders received and Revenues</t>
  </si>
  <si>
    <t>2018 Q1</t>
  </si>
  <si>
    <t xml:space="preserve">Diluted earnings per share, SEK </t>
  </si>
  <si>
    <t>EBITDA margin, %</t>
  </si>
  <si>
    <t>Capital employed turnover ratio</t>
  </si>
  <si>
    <t>Net debt/EBITDA ratio</t>
  </si>
  <si>
    <t>Dividends paid</t>
  </si>
  <si>
    <t>Operating cash flow per share, SEK</t>
  </si>
  <si>
    <t>2016 Full year</t>
  </si>
  <si>
    <t>2017 Full year</t>
  </si>
  <si>
    <t xml:space="preserve">Equipment </t>
  </si>
  <si>
    <t>Tax rate</t>
  </si>
  <si>
    <t>Opening balance</t>
  </si>
  <si>
    <t>Closing balance</t>
  </si>
  <si>
    <t>Op marg,%</t>
  </si>
  <si>
    <t>Other receivables</t>
  </si>
  <si>
    <t>Common group functions</t>
  </si>
  <si>
    <t xml:space="preserve">Change in provision for share-based long-term incentive programs </t>
  </si>
  <si>
    <t>Operating profit and profit before tax</t>
  </si>
  <si>
    <t>-</t>
  </si>
  <si>
    <t>Structure and other, %</t>
  </si>
  <si>
    <t>2018 Q2</t>
  </si>
  <si>
    <t>Trade receivables</t>
  </si>
  <si>
    <t>Net cash flow from operating activities</t>
  </si>
  <si>
    <t>Operating cash flow</t>
  </si>
  <si>
    <t>Income tax expenses</t>
  </si>
  <si>
    <t>2018 Q3</t>
  </si>
  <si>
    <t>Costs for split from Atlas Copco</t>
  </si>
  <si>
    <t>Description</t>
  </si>
  <si>
    <t>Reason for use</t>
  </si>
  <si>
    <t>EBITDA</t>
  </si>
  <si>
    <t>Return on capital employed</t>
  </si>
  <si>
    <t>Net working capital</t>
  </si>
  <si>
    <t>Capital turnover ratio</t>
  </si>
  <si>
    <t>Net debt/equity ratio</t>
  </si>
  <si>
    <t>Equity/assets ratio</t>
  </si>
  <si>
    <t>Return on equity</t>
  </si>
  <si>
    <t>Operating cash flow per share</t>
  </si>
  <si>
    <t>Book to bill for the Group</t>
  </si>
  <si>
    <t xml:space="preserve">(1) Restated in accordance with IFRS 15. </t>
  </si>
  <si>
    <t>EBITDA for the Group</t>
  </si>
  <si>
    <t>(1) Restated in accordance with IFRS 15.</t>
  </si>
  <si>
    <t>EBITDA margin</t>
  </si>
  <si>
    <t>22.9</t>
  </si>
  <si>
    <t>21.3</t>
  </si>
  <si>
    <t>Gross profit margin for the Group</t>
  </si>
  <si>
    <t>Gross profit margin, %</t>
  </si>
  <si>
    <t>35.6</t>
  </si>
  <si>
    <t>33.6</t>
  </si>
  <si>
    <t>35.9</t>
  </si>
  <si>
    <t>Operating margin for the Group</t>
  </si>
  <si>
    <t>Profit margin for the Group</t>
  </si>
  <si>
    <t>Profit margin, %</t>
  </si>
  <si>
    <t>Capital employed turnover ratio for the Group</t>
  </si>
  <si>
    <t>(2) The average capital employed is calculated as an average of five quarters.</t>
  </si>
  <si>
    <t>(3) The average capital employed is calculated as an average of two periods.</t>
  </si>
  <si>
    <t>Return on capital employed for the Group</t>
  </si>
  <si>
    <t>Return on capital employed, %</t>
  </si>
  <si>
    <t xml:space="preserve">Net working capital </t>
  </si>
  <si>
    <t>Capital turnover ratio for the Group</t>
  </si>
  <si>
    <t>(2) The average total asset is calculated as an average of five quarters.</t>
  </si>
  <si>
    <t>(3) The average total asset is calculated as an average of two periods.</t>
  </si>
  <si>
    <t>Net debt, net debt/equity ratio and net debt/EBITDA ratio for the Group</t>
  </si>
  <si>
    <t>Net debt/equity ratio, %</t>
  </si>
  <si>
    <t>Equity/assets ratio for the Group</t>
  </si>
  <si>
    <t>Equity/assets ratio, %</t>
  </si>
  <si>
    <t>Return on equity, %</t>
  </si>
  <si>
    <t>(2) The average total equity is calculated as an average of five quarters.</t>
  </si>
  <si>
    <t>(3) The average total equity is calculated as an average of two periods.</t>
  </si>
  <si>
    <t>Operating cash flow and Operating cash flow per share for the Group</t>
  </si>
  <si>
    <t>Number of shares, million</t>
  </si>
  <si>
    <t xml:space="preserve">(2) Mainly changes in the cash-pool with Atlas Copco and currency hedges of loans. </t>
  </si>
  <si>
    <t>Other adjustments*</t>
  </si>
  <si>
    <t>0.5*</t>
  </si>
  <si>
    <t>2018 Full year</t>
  </si>
  <si>
    <t>2018 Q4</t>
  </si>
  <si>
    <t>2019 Q1</t>
  </si>
  <si>
    <t>Interest bearing liabilities</t>
  </si>
  <si>
    <t>Other expenses/income from operations</t>
  </si>
  <si>
    <t>Investments in other property, plant and equipment</t>
  </si>
  <si>
    <t>Sale of other property, plant and equipment</t>
  </si>
  <si>
    <t>Proceeds to/from other financial assets, net</t>
  </si>
  <si>
    <t>Investments in associates and joint ventures</t>
  </si>
  <si>
    <t>Adjusted operating margin</t>
  </si>
  <si>
    <t>Adjusted operating margin, %</t>
  </si>
  <si>
    <t>Split and incentive program costs</t>
  </si>
  <si>
    <t>Adjusted operating profit</t>
  </si>
  <si>
    <t xml:space="preserve">Reversal of change in provision for share-based long-term incentive programs </t>
  </si>
  <si>
    <t>Reversal of costs for split from Atlas Copco</t>
  </si>
  <si>
    <t xml:space="preserve">(1) Split costs not reversed from 2019. </t>
  </si>
  <si>
    <t xml:space="preserve">Definitions </t>
  </si>
  <si>
    <t>Group Income statement</t>
  </si>
  <si>
    <t>Condensed segments</t>
  </si>
  <si>
    <t>2019 Q2</t>
  </si>
  <si>
    <t>Definitions</t>
  </si>
  <si>
    <t xml:space="preserve">Income Statement </t>
  </si>
  <si>
    <t xml:space="preserve">Segments </t>
  </si>
  <si>
    <t xml:space="preserve">Geography </t>
  </si>
  <si>
    <t>Balance Sheet</t>
  </si>
  <si>
    <t xml:space="preserve">Cash Flow </t>
  </si>
  <si>
    <t xml:space="preserve">Content </t>
  </si>
  <si>
    <t xml:space="preserve">Profit bridges </t>
  </si>
  <si>
    <t>Sales bridges</t>
  </si>
  <si>
    <t>Profit bridges</t>
  </si>
  <si>
    <t>Back to start page</t>
  </si>
  <si>
    <t>Reversal of costs in T&amp;A</t>
  </si>
  <si>
    <t>2019 Q3</t>
  </si>
  <si>
    <t>Change in provision for LTI-program</t>
  </si>
  <si>
    <t xml:space="preserve">Costs in Equipment &amp; Service </t>
  </si>
  <si>
    <t xml:space="preserve">Costs in Tools &amp; Attachments </t>
  </si>
  <si>
    <t>Adj. margin for items affecting comparability</t>
  </si>
  <si>
    <t xml:space="preserve">Adjusted operating margin, % </t>
  </si>
  <si>
    <t xml:space="preserve">Adjusted operating margin, T&amp;A, % </t>
  </si>
  <si>
    <t>MSEK</t>
  </si>
  <si>
    <t>Items affecting comparability</t>
  </si>
  <si>
    <t xml:space="preserve">MSEK </t>
  </si>
  <si>
    <t>Average capital employed, MSEK</t>
  </si>
  <si>
    <t>2019</t>
  </si>
  <si>
    <t>Reversal of costs in E&amp;S</t>
  </si>
  <si>
    <t>Other financial assets and receivables</t>
  </si>
  <si>
    <t>2019 Q4</t>
  </si>
  <si>
    <t>Acquisitions and divestments of subsidiaries</t>
  </si>
  <si>
    <t>Reversal of costs for agreement with CEO</t>
  </si>
  <si>
    <t>Agreement with CEO</t>
  </si>
  <si>
    <t>2019 Full year</t>
  </si>
  <si>
    <t>2020 Q1</t>
  </si>
  <si>
    <t>Deferred tax liabilities</t>
  </si>
  <si>
    <t xml:space="preserve">Quarterly </t>
  </si>
  <si>
    <t xml:space="preserve">Annual </t>
  </si>
  <si>
    <t>Equipment &amp; Service*</t>
  </si>
  <si>
    <t>Common group functions*</t>
  </si>
  <si>
    <t xml:space="preserve">Adjusted operating margin, E&amp;S, %* </t>
  </si>
  <si>
    <t>2020 Q2</t>
  </si>
  <si>
    <t>Acquisition of subsidiaries and associated companies</t>
  </si>
  <si>
    <t xml:space="preserve">* The IT-function moved from group function to E&amp;S in Q2 2020. Figures for 2018 to Q1 2020 have been restated. </t>
  </si>
  <si>
    <r>
      <t xml:space="preserve">2017 </t>
    </r>
    <r>
      <rPr>
        <b/>
        <vertAlign val="superscript"/>
        <sz val="8"/>
        <rFont val="Arial"/>
        <family val="2"/>
      </rPr>
      <t>(1)</t>
    </r>
  </si>
  <si>
    <r>
      <t>2019</t>
    </r>
    <r>
      <rPr>
        <b/>
        <vertAlign val="superscript"/>
        <sz val="8"/>
        <rFont val="Arial"/>
        <family val="2"/>
      </rPr>
      <t>(1)</t>
    </r>
  </si>
  <si>
    <r>
      <t>2020</t>
    </r>
    <r>
      <rPr>
        <b/>
        <vertAlign val="superscript"/>
        <sz val="8"/>
        <rFont val="Arial"/>
        <family val="2"/>
      </rPr>
      <t>(1)</t>
    </r>
  </si>
  <si>
    <r>
      <t>2015</t>
    </r>
    <r>
      <rPr>
        <b/>
        <vertAlign val="superscript"/>
        <sz val="8"/>
        <rFont val="Arial"/>
        <family val="2"/>
      </rPr>
      <t>(3)</t>
    </r>
  </si>
  <si>
    <r>
      <t>2016</t>
    </r>
    <r>
      <rPr>
        <b/>
        <vertAlign val="superscript"/>
        <sz val="8"/>
        <rFont val="Arial"/>
        <family val="2"/>
      </rPr>
      <t>(3)</t>
    </r>
  </si>
  <si>
    <r>
      <t xml:space="preserve">2017 </t>
    </r>
    <r>
      <rPr>
        <b/>
        <vertAlign val="superscript"/>
        <sz val="8"/>
        <rFont val="Arial"/>
        <family val="2"/>
      </rPr>
      <t>(1)(2)</t>
    </r>
  </si>
  <si>
    <r>
      <t>2018</t>
    </r>
    <r>
      <rPr>
        <b/>
        <vertAlign val="superscript"/>
        <sz val="8"/>
        <rFont val="Arial"/>
        <family val="2"/>
      </rPr>
      <t>(2)</t>
    </r>
  </si>
  <si>
    <r>
      <t>2019</t>
    </r>
    <r>
      <rPr>
        <b/>
        <vertAlign val="superscript"/>
        <sz val="8"/>
        <rFont val="Arial"/>
        <family val="2"/>
      </rPr>
      <t>(2)</t>
    </r>
  </si>
  <si>
    <r>
      <t>2020</t>
    </r>
    <r>
      <rPr>
        <b/>
        <vertAlign val="superscript"/>
        <sz val="8"/>
        <rFont val="Arial"/>
        <family val="2"/>
      </rPr>
      <t>(2)</t>
    </r>
  </si>
  <si>
    <t xml:space="preserve">Key figures </t>
  </si>
  <si>
    <t>At Epiroc we have the ambition to provide you with updated financial information and assist you in understanding our business, strategy and financial performance. If you cannot find what you are looking for, do not hesitate to contact us.</t>
  </si>
  <si>
    <t xml:space="preserve">Telephone: </t>
  </si>
  <si>
    <t xml:space="preserve">+46 10 755 0106 </t>
  </si>
  <si>
    <t>Mail:</t>
  </si>
  <si>
    <t xml:space="preserve">ESG </t>
  </si>
  <si>
    <t xml:space="preserve">% </t>
  </si>
  <si>
    <t xml:space="preserve">Epiroc Group </t>
  </si>
  <si>
    <t xml:space="preserve">Equipment &amp; Service </t>
  </si>
  <si>
    <t xml:space="preserve">Tools &amp; Attachments </t>
  </si>
  <si>
    <t xml:space="preserve">Revenue split by business type </t>
  </si>
  <si>
    <t xml:space="preserve">Equipment, % </t>
  </si>
  <si>
    <t xml:space="preserve">Aftermarket, %  </t>
  </si>
  <si>
    <t xml:space="preserve">Equipment, MSEK </t>
  </si>
  <si>
    <t>Aftermarket, MSEK</t>
  </si>
  <si>
    <t>Revenue split by reporting segment</t>
  </si>
  <si>
    <t xml:space="preserve">% and MSEK </t>
  </si>
  <si>
    <t xml:space="preserve">OIB </t>
  </si>
  <si>
    <t>2020 Q3</t>
  </si>
  <si>
    <t/>
  </si>
  <si>
    <t>2020</t>
  </si>
  <si>
    <t>2020 Full year</t>
  </si>
  <si>
    <t>2020 Q4</t>
  </si>
  <si>
    <t xml:space="preserve">Revenue growth </t>
  </si>
  <si>
    <t>*In 2015-2017, mainly changes in cash-pool with Atlas Copco and currency hedges of loans. From 2018, mainly currency hedges of loans and divestment of Payment Solutions portfolios.</t>
  </si>
  <si>
    <t xml:space="preserve">Adjusted operating profit </t>
  </si>
  <si>
    <t>Revenues, MSEK</t>
  </si>
  <si>
    <t xml:space="preserve">Other important business / information </t>
  </si>
  <si>
    <t>Infrastructure</t>
  </si>
  <si>
    <t>Gold</t>
  </si>
  <si>
    <t>Copper</t>
  </si>
  <si>
    <t>Nickel, lead</t>
  </si>
  <si>
    <t>Iron</t>
  </si>
  <si>
    <t>Platinum</t>
  </si>
  <si>
    <t xml:space="preserve">Coal </t>
  </si>
  <si>
    <t>Zinc</t>
  </si>
  <si>
    <t xml:space="preserve">Other </t>
  </si>
  <si>
    <t xml:space="preserve">Total </t>
  </si>
  <si>
    <t xml:space="preserve">North America </t>
  </si>
  <si>
    <t xml:space="preserve">South America </t>
  </si>
  <si>
    <t xml:space="preserve">Africa/Middle East </t>
  </si>
  <si>
    <t>Geographical split of significant suppliers (%)</t>
  </si>
  <si>
    <t xml:space="preserve">APMs calculated </t>
  </si>
  <si>
    <t>APMs calculated</t>
  </si>
  <si>
    <t xml:space="preserve">Key figure </t>
  </si>
  <si>
    <t xml:space="preserve">Capital employed </t>
  </si>
  <si>
    <t xml:space="preserve">Growth </t>
  </si>
  <si>
    <t>Total revenue growth, %</t>
  </si>
  <si>
    <t>Costs</t>
  </si>
  <si>
    <t>Research and development expenses</t>
  </si>
  <si>
    <t>R&amp;D expenses in % of revenues</t>
  </si>
  <si>
    <t xml:space="preserve">Profitability </t>
  </si>
  <si>
    <t xml:space="preserve">Gross profit </t>
  </si>
  <si>
    <t xml:space="preserve">Operating profit </t>
  </si>
  <si>
    <t xml:space="preserve">Capital efficiency </t>
  </si>
  <si>
    <t>Capital employed, period end</t>
  </si>
  <si>
    <t xml:space="preserve">Net working capital, average </t>
  </si>
  <si>
    <t>Average net working capital / revenues, %</t>
  </si>
  <si>
    <t>Credit rating, period end</t>
  </si>
  <si>
    <t>Cash generation</t>
  </si>
  <si>
    <t>Cash conversion rate, %, 12 months</t>
  </si>
  <si>
    <t xml:space="preserve">Equity information </t>
  </si>
  <si>
    <t>Payout ratio**, %</t>
  </si>
  <si>
    <t>Redemption per share**, SEK</t>
  </si>
  <si>
    <t xml:space="preserve">People &amp; Planet </t>
  </si>
  <si>
    <t>Employees, period end</t>
  </si>
  <si>
    <t>External/Additional workforce, period end</t>
  </si>
  <si>
    <t xml:space="preserve">Employees, average </t>
  </si>
  <si>
    <t>Lost-time injury frequency rate, LTIFR, 12 months</t>
  </si>
  <si>
    <t xml:space="preserve">Sick leave, % </t>
  </si>
  <si>
    <t>Capital employed  for the Group</t>
  </si>
  <si>
    <t xml:space="preserve">* EBITDA </t>
  </si>
  <si>
    <t>* EBITDA margin, %</t>
  </si>
  <si>
    <t xml:space="preserve">* Operating margin, % </t>
  </si>
  <si>
    <t xml:space="preserve">* Profit margin, % </t>
  </si>
  <si>
    <t>* Return on capital employed, %</t>
  </si>
  <si>
    <t>* Capital employed turnover ratio</t>
  </si>
  <si>
    <t>* Net debt / EBITDA ratio</t>
  </si>
  <si>
    <t xml:space="preserve">* Equity/assets ratio, period end </t>
  </si>
  <si>
    <t>* Net working capital, period end</t>
  </si>
  <si>
    <t>* Operating cash flow, MSEK</t>
  </si>
  <si>
    <t>* Return on equity, %</t>
  </si>
  <si>
    <t>* Operating cash flow per share</t>
  </si>
  <si>
    <t>Key figures</t>
  </si>
  <si>
    <t>16.8</t>
  </si>
  <si>
    <t>18.9</t>
  </si>
  <si>
    <t>19.3</t>
  </si>
  <si>
    <t>19.9</t>
  </si>
  <si>
    <t>20.4</t>
  </si>
  <si>
    <t>18.4</t>
  </si>
  <si>
    <t>19.7</t>
  </si>
  <si>
    <t>20.5</t>
  </si>
  <si>
    <t>19.0</t>
  </si>
  <si>
    <t>19.6</t>
  </si>
  <si>
    <t>21.2</t>
  </si>
  <si>
    <t>20.9</t>
  </si>
  <si>
    <t>22.6</t>
  </si>
  <si>
    <t>17.3</t>
  </si>
  <si>
    <t>16.3</t>
  </si>
  <si>
    <t>18.5</t>
  </si>
  <si>
    <t>18.8</t>
  </si>
  <si>
    <t>19.2</t>
  </si>
  <si>
    <t>17.0</t>
  </si>
  <si>
    <t>17.7</t>
  </si>
  <si>
    <t>17.9</t>
  </si>
  <si>
    <t>20.0</t>
  </si>
  <si>
    <t>18.7</t>
  </si>
  <si>
    <t>20.6</t>
  </si>
  <si>
    <t>16.2</t>
  </si>
  <si>
    <t>1.3</t>
  </si>
  <si>
    <t>1.2</t>
  </si>
  <si>
    <t>1.4</t>
  </si>
  <si>
    <t>1.7</t>
  </si>
  <si>
    <t>1.1</t>
  </si>
  <si>
    <t>1.5</t>
  </si>
  <si>
    <t>1.6</t>
  </si>
  <si>
    <t>Net cash/debt</t>
  </si>
  <si>
    <t>2021 Q1</t>
  </si>
  <si>
    <t xml:space="preserve">Average Capital employed, excl. cash  </t>
  </si>
  <si>
    <t>Transport CO2, tonnes/COS, MSEK, 12 months</t>
  </si>
  <si>
    <t>BBB+</t>
  </si>
  <si>
    <t>Nickel</t>
  </si>
  <si>
    <t>Women employees, %, period end</t>
  </si>
  <si>
    <t>MSEK, % currency adjusted</t>
  </si>
  <si>
    <t>2021 Q2</t>
  </si>
  <si>
    <r>
      <t>2021</t>
    </r>
    <r>
      <rPr>
        <b/>
        <vertAlign val="superscript"/>
        <sz val="8"/>
        <rFont val="Arial"/>
        <family val="2"/>
      </rPr>
      <t>(2)</t>
    </r>
  </si>
  <si>
    <t>Redemption of shares</t>
  </si>
  <si>
    <t>*Orders received, MSEK</t>
  </si>
  <si>
    <t xml:space="preserve">*Total order growth, % </t>
  </si>
  <si>
    <t xml:space="preserve">*Organic order growth. % </t>
  </si>
  <si>
    <t>*Organic revenue growth, %</t>
  </si>
  <si>
    <t>*Book to bill, %</t>
  </si>
  <si>
    <t>*Gross margin, %</t>
  </si>
  <si>
    <t xml:space="preserve">Fleet age </t>
  </si>
  <si>
    <t>Average fleet age in years</t>
  </si>
  <si>
    <t xml:space="preserve">Older than 10 years, % </t>
  </si>
  <si>
    <t>Canada</t>
  </si>
  <si>
    <t>Mexico</t>
  </si>
  <si>
    <t xml:space="preserve">Chile </t>
  </si>
  <si>
    <t>Peru</t>
  </si>
  <si>
    <t xml:space="preserve">Brazil </t>
  </si>
  <si>
    <t xml:space="preserve">Europe </t>
  </si>
  <si>
    <t xml:space="preserve">Russia </t>
  </si>
  <si>
    <t xml:space="preserve">Sweden </t>
  </si>
  <si>
    <t xml:space="preserve">Germany </t>
  </si>
  <si>
    <t xml:space="preserve">Norway </t>
  </si>
  <si>
    <t>Finland</t>
  </si>
  <si>
    <t xml:space="preserve">Africa / Middle East </t>
  </si>
  <si>
    <t>South Africa</t>
  </si>
  <si>
    <t xml:space="preserve">Congo </t>
  </si>
  <si>
    <t xml:space="preserve">Asia / Australia </t>
  </si>
  <si>
    <t xml:space="preserve">Australia </t>
  </si>
  <si>
    <t xml:space="preserve">China </t>
  </si>
  <si>
    <t xml:space="preserve">India </t>
  </si>
  <si>
    <t>Kazakhstan</t>
  </si>
  <si>
    <t>2021 Q3</t>
  </si>
  <si>
    <t>** As reported in income statement</t>
  </si>
  <si>
    <t>Items affecting comparability**</t>
  </si>
  <si>
    <r>
      <t>2021</t>
    </r>
    <r>
      <rPr>
        <b/>
        <vertAlign val="superscript"/>
        <sz val="8"/>
        <rFont val="Arial"/>
        <family val="2"/>
      </rPr>
      <t>(1)</t>
    </r>
  </si>
  <si>
    <t>2021 Q4</t>
  </si>
  <si>
    <t>2021 Full year</t>
  </si>
  <si>
    <t>CAGR 2015-2021</t>
  </si>
  <si>
    <t xml:space="preserve">Full year </t>
  </si>
  <si>
    <t xml:space="preserve">Last updated </t>
  </si>
  <si>
    <t>Net Debt (+) / Net cash (-)</t>
  </si>
  <si>
    <t>USA</t>
  </si>
  <si>
    <t xml:space="preserve">Turkey </t>
  </si>
  <si>
    <t xml:space="preserve">Italy </t>
  </si>
  <si>
    <t xml:space="preserve">Spain </t>
  </si>
  <si>
    <t xml:space="preserve">Zambia </t>
  </si>
  <si>
    <t>Adjusted operating profit in % of revenues.</t>
  </si>
  <si>
    <t>Book-to-bill</t>
  </si>
  <si>
    <t>Orders received divided by revenues.</t>
  </si>
  <si>
    <t>An indicator of demand trends.</t>
  </si>
  <si>
    <t>An indicator of cash generating ability.</t>
  </si>
  <si>
    <t>Equity including non-controlling interests, as % of total assets.</t>
  </si>
  <si>
    <t>Gross margin</t>
  </si>
  <si>
    <t>Gross profit as % of revenues.</t>
  </si>
  <si>
    <t>A measurement of the operational profit which enables comparisons over time by excluding items that are irregular in frequency or size.</t>
  </si>
  <si>
    <t xml:space="preserve">Operating profit adjusted for items affecting comparability. </t>
  </si>
  <si>
    <t xml:space="preserve">EBITDA margin </t>
  </si>
  <si>
    <t xml:space="preserve">EBITDA as % of revenues. </t>
  </si>
  <si>
    <t>A measure of financial risk showing how much of Epiroc's total assets that have been financed with equity.</t>
  </si>
  <si>
    <t xml:space="preserve">Items such as operating profit/loss from acquisitions and divestments, one-time items (restructuring) and change in provision for share-based long-term incentive programs. </t>
  </si>
  <si>
    <t>Interest-bearing liabilities and post-employment benefits, adjusted for the fair value of interest rate swaps, less cash and cash equivalents and certain other financial receivables.</t>
  </si>
  <si>
    <t xml:space="preserve">A measurement of the financial position. </t>
  </si>
  <si>
    <t xml:space="preserve">A measurement of financial risk. </t>
  </si>
  <si>
    <t>Net debt in relation to equity, including non-controlling interests.</t>
  </si>
  <si>
    <t xml:space="preserve">A measurement of financial risk.  </t>
  </si>
  <si>
    <t>Working capital net of inventories, trade receivables, trade payables, other operating assets and liabilities.</t>
  </si>
  <si>
    <t>Cash flow from operations and cash flow from investing activities, excluding company acquisitions/divestments, as well as other adjustments.</t>
  </si>
  <si>
    <t>Operating cash flow divided by basic number of shares outstanding.</t>
  </si>
  <si>
    <t xml:space="preserve">Operating margin </t>
  </si>
  <si>
    <t xml:space="preserve">Operating profit as % of revenues. </t>
  </si>
  <si>
    <t xml:space="preserve">Orders received and order growth </t>
  </si>
  <si>
    <t xml:space="preserve">Orders received in MSEK in a period. The total order growth includes the contribution from organic growth, currency and structure. </t>
  </si>
  <si>
    <t>Organic growth</t>
  </si>
  <si>
    <t xml:space="preserve">Organic growth is total growth excluding the contribution from currency and structure. Alternatively, the growth that is based on volume and price. </t>
  </si>
  <si>
    <t>Pay-out ratio</t>
  </si>
  <si>
    <t xml:space="preserve">Dividend per share as % of basic earnings per share. </t>
  </si>
  <si>
    <t xml:space="preserve">Profit before tax as % of revenues. </t>
  </si>
  <si>
    <t xml:space="preserve">An indicator of profitability. </t>
  </si>
  <si>
    <r>
      <rPr>
        <vertAlign val="superscript"/>
        <sz val="9"/>
        <color theme="1"/>
        <rFont val="Arial"/>
        <family val="2"/>
        <scheme val="minor"/>
      </rPr>
      <t xml:space="preserve">1) </t>
    </r>
    <r>
      <rPr>
        <sz val="9"/>
        <color theme="1"/>
        <rFont val="Arial"/>
        <family val="2"/>
        <scheme val="minor"/>
      </rPr>
      <t xml:space="preserve">Calculated as an average of five quarters. In 2016 and 2015, however, it was calculated as an average of two periods. </t>
    </r>
  </si>
  <si>
    <r>
      <rPr>
        <vertAlign val="superscript"/>
        <sz val="9"/>
        <color theme="1"/>
        <rFont val="Arial"/>
        <family val="2"/>
        <scheme val="minor"/>
      </rPr>
      <t>2)</t>
    </r>
    <r>
      <rPr>
        <sz val="9"/>
        <color theme="1"/>
        <rFont val="Arial"/>
        <family val="2"/>
        <scheme val="minor"/>
      </rPr>
      <t xml:space="preserve"> 12 months’ value. </t>
    </r>
  </si>
  <si>
    <r>
      <t>Average total assets</t>
    </r>
    <r>
      <rPr>
        <vertAlign val="superscript"/>
        <sz val="9"/>
        <color theme="1"/>
        <rFont val="Arial"/>
        <family val="2"/>
        <scheme val="minor"/>
      </rPr>
      <t>1)</t>
    </r>
    <r>
      <rPr>
        <sz val="9"/>
        <color theme="1"/>
        <rFont val="Arial"/>
        <family val="2"/>
        <scheme val="minor"/>
      </rPr>
      <t xml:space="preserve"> less average non-interest-bearing liabilities/provisions. Capital employed for the segments excludes cash, tax liabilities and tax receivables. </t>
    </r>
  </si>
  <si>
    <r>
      <t>Revenues</t>
    </r>
    <r>
      <rPr>
        <vertAlign val="superscript"/>
        <sz val="9"/>
        <color theme="1"/>
        <rFont val="Arial"/>
        <family val="2"/>
        <scheme val="minor"/>
      </rPr>
      <t>2)</t>
    </r>
    <r>
      <rPr>
        <sz val="9"/>
        <color theme="1"/>
        <rFont val="Arial"/>
        <family val="2"/>
        <scheme val="minor"/>
      </rPr>
      <t xml:space="preserve"> divided by the average capital employed</t>
    </r>
    <r>
      <rPr>
        <vertAlign val="superscript"/>
        <sz val="9"/>
        <color theme="1"/>
        <rFont val="Arial"/>
        <family val="2"/>
        <scheme val="minor"/>
      </rPr>
      <t>1)</t>
    </r>
    <r>
      <rPr>
        <sz val="9"/>
        <color theme="1"/>
        <rFont val="Arial"/>
        <family val="2"/>
        <scheme val="minor"/>
      </rPr>
      <t>.</t>
    </r>
  </si>
  <si>
    <r>
      <t>Revenues</t>
    </r>
    <r>
      <rPr>
        <vertAlign val="superscript"/>
        <sz val="9"/>
        <color theme="1"/>
        <rFont val="Arial"/>
        <family val="2"/>
        <scheme val="minor"/>
      </rPr>
      <t>2)</t>
    </r>
    <r>
      <rPr>
        <sz val="9"/>
        <color theme="1"/>
        <rFont val="Arial"/>
        <family val="2"/>
        <scheme val="minor"/>
      </rPr>
      <t xml:space="preserve"> divided by average total assets</t>
    </r>
    <r>
      <rPr>
        <vertAlign val="superscript"/>
        <sz val="9"/>
        <color theme="1"/>
        <rFont val="Arial"/>
        <family val="2"/>
        <scheme val="minor"/>
      </rPr>
      <t>1)</t>
    </r>
    <r>
      <rPr>
        <sz val="9"/>
        <color theme="1"/>
        <rFont val="Arial"/>
        <family val="2"/>
        <scheme val="minor"/>
      </rPr>
      <t>.</t>
    </r>
  </si>
  <si>
    <r>
      <t>Net debt in relation to EBITDA.</t>
    </r>
    <r>
      <rPr>
        <vertAlign val="superscript"/>
        <sz val="9"/>
        <color theme="1"/>
        <rFont val="Arial"/>
        <family val="2"/>
        <scheme val="minor"/>
      </rPr>
      <t>2)</t>
    </r>
  </si>
  <si>
    <r>
      <t>Operating profit</t>
    </r>
    <r>
      <rPr>
        <vertAlign val="superscript"/>
        <sz val="9"/>
        <color theme="1"/>
        <rFont val="Arial"/>
        <family val="2"/>
        <scheme val="minor"/>
      </rPr>
      <t>2)</t>
    </r>
    <r>
      <rPr>
        <sz val="9"/>
        <color theme="1"/>
        <rFont val="Arial"/>
        <family val="2"/>
        <scheme val="minor"/>
      </rPr>
      <t xml:space="preserve"> as % of average capital employed</t>
    </r>
    <r>
      <rPr>
        <vertAlign val="superscript"/>
        <sz val="9"/>
        <color theme="1"/>
        <rFont val="Arial"/>
        <family val="2"/>
        <scheme val="minor"/>
      </rPr>
      <t>1)</t>
    </r>
    <r>
      <rPr>
        <sz val="9"/>
        <color theme="1"/>
        <rFont val="Arial"/>
        <family val="2"/>
        <scheme val="minor"/>
      </rPr>
      <t>.</t>
    </r>
  </si>
  <si>
    <r>
      <t>Profit for the period</t>
    </r>
    <r>
      <rPr>
        <vertAlign val="superscript"/>
        <sz val="9"/>
        <color theme="1"/>
        <rFont val="Arial"/>
        <family val="2"/>
        <scheme val="minor"/>
      </rPr>
      <t>2)</t>
    </r>
    <r>
      <rPr>
        <sz val="9"/>
        <color theme="1"/>
        <rFont val="Arial"/>
        <family val="2"/>
        <scheme val="minor"/>
      </rPr>
      <t xml:space="preserve"> divided by average equity, excluding non-controlling interest</t>
    </r>
    <r>
      <rPr>
        <vertAlign val="superscript"/>
        <sz val="9"/>
        <color theme="1"/>
        <rFont val="Arial"/>
        <family val="2"/>
        <scheme val="minor"/>
      </rPr>
      <t>1)</t>
    </r>
    <r>
      <rPr>
        <sz val="9"/>
        <color theme="1"/>
        <rFont val="Arial"/>
        <family val="2"/>
        <scheme val="minor"/>
      </rPr>
      <t xml:space="preserve">. </t>
    </r>
  </si>
  <si>
    <t>Several key figures in Epiroc's financial reports are not defined according to IFRS. They provide complementary information aiming to help readers to analyze the company’s operations and facilitate an evaluation of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t>
  </si>
  <si>
    <t>Book-to-bill, %</t>
  </si>
  <si>
    <t xml:space="preserve">Hard-formation exposure of orders, % </t>
  </si>
  <si>
    <r>
      <t>2022</t>
    </r>
    <r>
      <rPr>
        <b/>
        <vertAlign val="superscript"/>
        <sz val="8"/>
        <rFont val="Arial"/>
        <family val="2"/>
      </rPr>
      <t>(2)</t>
    </r>
  </si>
  <si>
    <t>2022 Q1</t>
  </si>
  <si>
    <t>Women managers, %, period end</t>
  </si>
  <si>
    <t>Total recordable injury frequency rate, TRIFR, 12 months*</t>
  </si>
  <si>
    <t>* Data prior to Q4 2021 are not comparable</t>
  </si>
  <si>
    <t>Dividend per share, SEK</t>
  </si>
  <si>
    <t xml:space="preserve">CO2e emissions from transport, tonnes, 12 months  </t>
  </si>
  <si>
    <t>2022 Q2</t>
  </si>
  <si>
    <t>Current tax liabilities</t>
  </si>
  <si>
    <t>Assets held for sale</t>
  </si>
  <si>
    <t>2022 Q3</t>
  </si>
  <si>
    <r>
      <t>2022</t>
    </r>
    <r>
      <rPr>
        <b/>
        <vertAlign val="superscript"/>
        <sz val="8"/>
        <rFont val="Arial"/>
        <family val="2"/>
      </rPr>
      <t>(1)</t>
    </r>
  </si>
  <si>
    <t xml:space="preserve">Direct sales, of revenues, % </t>
  </si>
  <si>
    <t xml:space="preserve">Top 10 customers of revenues, % </t>
  </si>
  <si>
    <t xml:space="preserve">Underground revenues of equipment, % </t>
  </si>
  <si>
    <t xml:space="preserve">Surface revenues of equipment, % </t>
  </si>
  <si>
    <t xml:space="preserve">Large customers </t>
  </si>
  <si>
    <t xml:space="preserve">Barrick Gold Cooperation </t>
  </si>
  <si>
    <t xml:space="preserve">Boliden </t>
  </si>
  <si>
    <t xml:space="preserve">BHP </t>
  </si>
  <si>
    <t>Freeport-McMoran</t>
  </si>
  <si>
    <t>Glencore</t>
  </si>
  <si>
    <t>Heidelberg Cement</t>
  </si>
  <si>
    <t>Hochtief</t>
  </si>
  <si>
    <t>LKAB</t>
  </si>
  <si>
    <t xml:space="preserve">Lundin Mining Corporation </t>
  </si>
  <si>
    <t>Rio Tinto</t>
  </si>
  <si>
    <t xml:space="preserve">Sibanye-Stillwater </t>
  </si>
  <si>
    <t xml:space="preserve">Vale </t>
  </si>
  <si>
    <t xml:space="preserve">Veidekke </t>
  </si>
  <si>
    <t xml:space="preserve">Votorantim </t>
  </si>
  <si>
    <t xml:space="preserve">Anglo American </t>
  </si>
  <si>
    <t>Customer mentioned in annual report</t>
  </si>
  <si>
    <t>2022 Q4</t>
  </si>
  <si>
    <t>2022 Full year</t>
  </si>
  <si>
    <t xml:space="preserve">Organic Order growth ex. Russia </t>
  </si>
  <si>
    <t>Epiroc</t>
  </si>
  <si>
    <t xml:space="preserve">Service </t>
  </si>
  <si>
    <t xml:space="preserve">Sequential organic growth, % </t>
  </si>
  <si>
    <t>* Net Debt / equity, % , period end</t>
  </si>
  <si>
    <t>Q</t>
  </si>
  <si>
    <t xml:space="preserve">Date announced </t>
  </si>
  <si>
    <t xml:space="preserve">Booked </t>
  </si>
  <si>
    <t xml:space="preserve">Delivery </t>
  </si>
  <si>
    <t xml:space="preserve">No of machines </t>
  </si>
  <si>
    <t xml:space="preserve">Country </t>
  </si>
  <si>
    <t xml:space="preserve">Customer </t>
  </si>
  <si>
    <t xml:space="preserve">UG / Surface / Infra </t>
  </si>
  <si>
    <t>Mineral</t>
  </si>
  <si>
    <t xml:space="preserve">BEV? </t>
  </si>
  <si>
    <t xml:space="preserve">Automation? </t>
  </si>
  <si>
    <t xml:space="preserve">Comment </t>
  </si>
  <si>
    <t>Link</t>
  </si>
  <si>
    <t>Q122</t>
  </si>
  <si>
    <t xml:space="preserve">Into early 2024.  </t>
  </si>
  <si>
    <t>x</t>
  </si>
  <si>
    <t>Democratic Republic of the Congo</t>
  </si>
  <si>
    <t>JCHX Mining and Construction Ltd.</t>
  </si>
  <si>
    <t xml:space="preserve">UG </t>
  </si>
  <si>
    <t xml:space="preserve">Zinc, copper, germanium and silver </t>
  </si>
  <si>
    <t xml:space="preserve">No. </t>
  </si>
  <si>
    <t xml:space="preserve">Ready for </t>
  </si>
  <si>
    <t>Mine is run with renewable hydro-generated electricity.</t>
  </si>
  <si>
    <t>https://www.epirocgroup.com/en/media/corporate-press-releases/2023/20230323-epiroc-wins-large-order-for-mining-equipment-in-democratic-republic-of-the-congo</t>
  </si>
  <si>
    <t xml:space="preserve">Throughout 2023 </t>
  </si>
  <si>
    <t xml:space="preserve">Roy Hill </t>
  </si>
  <si>
    <t>Surface</t>
  </si>
  <si>
    <t xml:space="preserve">Iron ore </t>
  </si>
  <si>
    <t xml:space="preserve">Yes! </t>
  </si>
  <si>
    <t xml:space="preserve">The world’s largest single autonomous mine. </t>
  </si>
  <si>
    <t>https://www.epirocgroup.com/en/media/corporate-press-releases/2023/20230314-epiroc-wins-its-largest-ever-automation-order-to-work-with-roy-hill-to-create-world-s-largest-single-autonomous-mine</t>
  </si>
  <si>
    <t>Q123 into 2024</t>
  </si>
  <si>
    <t>X</t>
  </si>
  <si>
    <t xml:space="preserve">South Africa </t>
  </si>
  <si>
    <t>African Rainbow Minerals </t>
  </si>
  <si>
    <t xml:space="preserve">Platinum </t>
  </si>
  <si>
    <t xml:space="preserve">Low profile, platinum </t>
  </si>
  <si>
    <t>https://www.epirocgroup.com/en/media/corporate-press-releases/2023/20230124-epiroc-wins-large-equipment-order-for-platinum-mine-in-south-africa</t>
  </si>
  <si>
    <t>"And in the fourth quarter, we did not receive as many large orders as in the previous quarters. We had around MSEK 400 of large orders in Q4. "</t>
  </si>
  <si>
    <t>Q422</t>
  </si>
  <si>
    <t>"We had a handful of large orders amounting to more than SEK 1 billion"</t>
  </si>
  <si>
    <t>Q322</t>
  </si>
  <si>
    <t>begin in 2023</t>
  </si>
  <si>
    <t>fleet</t>
  </si>
  <si>
    <t>CITIC Pacific Mining</t>
  </si>
  <si>
    <t>Iron ore</t>
  </si>
  <si>
    <t xml:space="preserve">Autodrill </t>
  </si>
  <si>
    <t xml:space="preserve">PitViper 271x, autodrill </t>
  </si>
  <si>
    <t>https://www.epirocgroup.com/en/media/corporate-press-releases/2022/20221013-epiroc-wins-large-mining-equipment-order-in-australia</t>
  </si>
  <si>
    <t>China</t>
  </si>
  <si>
    <t xml:space="preserve">Luannan Macheng Mining (Shougang Group) </t>
  </si>
  <si>
    <t>New iron ore mine / RCS and some electric</t>
  </si>
  <si>
    <t>https://www.epirocgroup.com/en/media/corporate-press-releases/2022/20221011-epiroc-wins-large-equipment-order-for-new-iron-ore-mine-in-china</t>
  </si>
  <si>
    <t xml:space="preserve">Early 23 </t>
  </si>
  <si>
    <t xml:space="preserve">Gold fields </t>
  </si>
  <si>
    <t xml:space="preserve">Gold </t>
  </si>
  <si>
    <t xml:space="preserve">Yes. </t>
  </si>
  <si>
    <t xml:space="preserve">Fleet of trucks </t>
  </si>
  <si>
    <t>https://www.epirocgroup.com/en/media/corporate-press-releases/2022/20221005-epiroc-wins-large-order-for-mining-trucks-in-australia</t>
  </si>
  <si>
    <t>We won 5 large orders above "SEK 100 million in the quarter, and the large orders were in total more than SEK 800 million."</t>
  </si>
  <si>
    <t>Q222</t>
  </si>
  <si>
    <t>Mauritania</t>
  </si>
  <si>
    <t>Société Nationale Industrielle et Minière</t>
  </si>
  <si>
    <t xml:space="preserve">Advanced automation </t>
  </si>
  <si>
    <t>https://www.epirocgroup.com/en/media/corporate-press-releases/2022/20220720-epiroc-wins-large-order-for-surface-drill-rigs-in-mauritania</t>
  </si>
  <si>
    <t xml:space="preserve">Mexico </t>
  </si>
  <si>
    <t>Fresnillo plc</t>
  </si>
  <si>
    <t>UG</t>
  </si>
  <si>
    <t>140 in Q2 and 30 in Q1</t>
  </si>
  <si>
    <t>https://www.epirocgroup.com/en/media/corporate-press-releases/2022/20220708-epiroc-wins-large-mining-equipment-order-in-mexico</t>
  </si>
  <si>
    <t>Glencore </t>
  </si>
  <si>
    <t xml:space="preserve">Nickel &amp; Copper </t>
  </si>
  <si>
    <t>Greenfield / Start 2024</t>
  </si>
  <si>
    <t>https://www.epirocgroup.com/en/media/corporate-press-releases/2022/20220704-epiroc-wins-large-battery-electric-equipment-order-for-new-all-electric-mine-in-canada</t>
  </si>
  <si>
    <t xml:space="preserve">Rio Tinto </t>
  </si>
  <si>
    <t xml:space="preserve">Surface / iron ore </t>
  </si>
  <si>
    <t>https://www.epirocgroup.com/en/media/corporate-press-releases/2022/20220630-epiroc-wins-large-surface-mining-equipment-order-in-australia</t>
  </si>
  <si>
    <t xml:space="preserve">Zinc, copper, lead, gold, silver, tellurium </t>
  </si>
  <si>
    <t xml:space="preserve">Yes </t>
  </si>
  <si>
    <t>UG- Battery/ BEV</t>
  </si>
  <si>
    <t>https://www.epirocgroup.com/en/media/corporate-press-releases/2022/20220620-epiroc-wins-large-mining-equipment-order-in-sweden-including-battery-and-automation-solutions</t>
  </si>
  <si>
    <t xml:space="preserve">No </t>
  </si>
  <si>
    <t>"six large orders". "In the range of SEK 800 million"</t>
  </si>
  <si>
    <t>Kamoa Copper SA</t>
  </si>
  <si>
    <t xml:space="preserve">Copper </t>
  </si>
  <si>
    <t xml:space="preserve">Minetrucks </t>
  </si>
  <si>
    <t>https://www.epirocgroup.com/en/media/corporate-press-releases/2022/20220420-epiroc-wins-large-mining-equipment-order-in-democratic-republic-of-the-congo</t>
  </si>
  <si>
    <t>Assmang Proprietary Limited </t>
  </si>
  <si>
    <t xml:space="preserve">Manganses </t>
  </si>
  <si>
    <t>Battery electric</t>
  </si>
  <si>
    <t>https://www.epirocgroup.com/en/media/corporate-press-releases/2022/20220419-epiroc-wins-large-order-for-battery-electric-mining-equipment-in-south-africa</t>
  </si>
  <si>
    <t>q1</t>
  </si>
  <si>
    <t>Canadian Malartic Partnership</t>
  </si>
  <si>
    <t>MSEK not mentioned, but that large is defined as MSEK +100</t>
  </si>
  <si>
    <t>https://www.epirocgroup.com/en/media/corporate-press-releases/2022/20220414-epiroc-wins-large-order-including-battery-machines-and-automation-solutions-for-new-mine-in-canada</t>
  </si>
  <si>
    <t>"We had 3 large orders in Q4"</t>
  </si>
  <si>
    <t>Q421</t>
  </si>
  <si>
    <t>"Higher than in Q1 and Q2" "Five above MSEK 100"</t>
  </si>
  <si>
    <t>Q321</t>
  </si>
  <si>
    <t>Production drilling</t>
  </si>
  <si>
    <t>https://www.epirocgroup.com/en/media/corporate-press-releases/2021/20211019-epiroc-wins-large-mining-equipment-order-in-sweden</t>
  </si>
  <si>
    <t>Production starts H2 2023</t>
  </si>
  <si>
    <t xml:space="preserve">IAMGOLD </t>
  </si>
  <si>
    <t>Greenfield</t>
  </si>
  <si>
    <t>https://www.epirocgroup.com/en/media/corporate-press-releases/2021/20211015-epiroc-wins-large-equipment-order-for-greenfield-mine-in-canada</t>
  </si>
  <si>
    <t xml:space="preserve">xx? </t>
  </si>
  <si>
    <t xml:space="preserve">Eti Bakir </t>
  </si>
  <si>
    <t>https://www.epirocgroup.com/en/media/corporate-press-releases/2021/20211014-epiroc-wins-large-mining-equipment-order-in-turkey</t>
  </si>
  <si>
    <t>2021 and 2022</t>
  </si>
  <si>
    <t>Dazhong Mining Co</t>
  </si>
  <si>
    <t>Expansion</t>
  </si>
  <si>
    <t>https://www.epirocgroup.com/en/media/corporate-press-releases/2021/20210909-epiroc-wins-large-mining-equipment-order-in-china</t>
  </si>
  <si>
    <t>Largely on the same level as in Q1.</t>
  </si>
  <si>
    <t>Q221</t>
  </si>
  <si>
    <t>early in 2022</t>
  </si>
  <si>
    <t xml:space="preserve">Ivanplats /Ivanhoe </t>
  </si>
  <si>
    <t>Battery-electric used for greenfield</t>
  </si>
  <si>
    <t>https://www.epirocgroup.com/en/media/corporate-press-releases/2021/20210714-epiroc-partners-with-ivanhoe-mines-for-significant-order-of-battery-electric-mining-equipment-in-south-africa</t>
  </si>
  <si>
    <t>Majority in Q2 / Rest in Q3</t>
  </si>
  <si>
    <t>CoMinVi</t>
  </si>
  <si>
    <t>Contractor for use in several mines throughout the country</t>
  </si>
  <si>
    <t>https://www.epirocgroup.com/en/media/corporate-press-releases/2021/20210629-epiroc-wins-large-mining-equipment-order-in-mexico</t>
  </si>
  <si>
    <t>Roughly (a little less than) MSEK 500</t>
  </si>
  <si>
    <t>Q121</t>
  </si>
  <si>
    <t xml:space="preserve">xxx? </t>
  </si>
  <si>
    <t xml:space="preserve">RioTinto </t>
  </si>
  <si>
    <t>Pilbara region</t>
  </si>
  <si>
    <t>https://www.epirocgroup.com/en/media/corporate-press-releases/2021/20210427-epiroc-wins-large-mining-equipment-order-in-australia</t>
  </si>
  <si>
    <t>Q420</t>
  </si>
  <si>
    <t>Q320</t>
  </si>
  <si>
    <t>Q4 2020</t>
  </si>
  <si>
    <t>Norilsk Nickel </t>
  </si>
  <si>
    <t>Nickel, palladium, platinum and copper</t>
  </si>
  <si>
    <t>Several mines</t>
  </si>
  <si>
    <t>https://www.epirocgroup.com/en/media/corporate-press-releases/2020/20201021-safety-and-productivity-in-focus-as-epiroc-wins-large-equipment-order-in-russia</t>
  </si>
  <si>
    <t>Q220</t>
  </si>
  <si>
    <t xml:space="preserve">Later 2020 </t>
  </si>
  <si>
    <t xml:space="preserve">Codelco </t>
  </si>
  <si>
    <t>Surface / UG</t>
  </si>
  <si>
    <t xml:space="preserve">Copper / Gold </t>
  </si>
  <si>
    <t>Transforming the copper and gold mine from open-pit into UG</t>
  </si>
  <si>
    <t>https://www.epirocgroup.com/en/media/corporate-press-releases/2020/20200528-epiroc-wins-large-mining-equipment-and-service-order-from-codelco-in-chile</t>
  </si>
  <si>
    <t>Large orders</t>
  </si>
  <si>
    <t>Lead times</t>
  </si>
  <si>
    <t>9-12 months</t>
  </si>
  <si>
    <t xml:space="preserve">9-10 months </t>
  </si>
  <si>
    <t>Date finalized</t>
  </si>
  <si>
    <t>Acquisitions</t>
  </si>
  <si>
    <t>Divestment</t>
  </si>
  <si>
    <t>Segment</t>
  </si>
  <si>
    <t>Revenues, MSEK*</t>
  </si>
  <si>
    <t>No. of employees</t>
  </si>
  <si>
    <t>AARD Mining Equipment</t>
  </si>
  <si>
    <t xml:space="preserve">2023 Feb 2 </t>
  </si>
  <si>
    <t>Mernok Elektronik</t>
  </si>
  <si>
    <t xml:space="preserve">CR </t>
  </si>
  <si>
    <t>T&amp;A</t>
  </si>
  <si>
    <t>2022 Dec 1</t>
  </si>
  <si>
    <t>Remote Control Technologies (RCT)</t>
  </si>
  <si>
    <t>2022 Nov 4</t>
  </si>
  <si>
    <t>Wain-Roy</t>
  </si>
  <si>
    <t>2022 Nov 1 </t>
  </si>
  <si>
    <t>Radlink</t>
  </si>
  <si>
    <t>2022 Oct 14</t>
  </si>
  <si>
    <t>Geoscan</t>
  </si>
  <si>
    <t>2022 Aug 2</t>
  </si>
  <si>
    <t>RNP México</t>
  </si>
  <si>
    <t>2022 Jun 1</t>
  </si>
  <si>
    <t>JTMEC</t>
  </si>
  <si>
    <t>Equipment &amp; Service </t>
  </si>
  <si>
    <t>2021 Nov 3</t>
  </si>
  <si>
    <t>FVT Research</t>
  </si>
  <si>
    <t>2021 Nov 2</t>
  </si>
  <si>
    <t>Mobilaris MCE AB (remaining share)</t>
  </si>
  <si>
    <t>2021 Aug 10</t>
  </si>
  <si>
    <t>DandA Heavy Industries</t>
  </si>
  <si>
    <t>2021 July 7</t>
  </si>
  <si>
    <t> Mining Tag S.A</t>
  </si>
  <si>
    <t>2021 July 2</t>
  </si>
  <si>
    <t>Meglab</t>
  </si>
  <si>
    <t>2021 June 4</t>
  </si>
  <si>
    <t>3D-P </t>
  </si>
  <si>
    <t>2021 June 1</t>
  </si>
  <si>
    <t>Kinetic Logging Services Pty Ltd</t>
  </si>
  <si>
    <t>2021 May 4</t>
  </si>
  <si>
    <t>MineRP</t>
  </si>
  <si>
    <t>2020 Aug 26</t>
  </si>
  <si>
    <t>ItalParts</t>
  </si>
  <si>
    <t>2019 Oct 23</t>
  </si>
  <si>
    <t>Consumables manufacturing facility</t>
  </si>
  <si>
    <t>2019 Sep 3</t>
  </si>
  <si>
    <t>Geotechnical consumables</t>
  </si>
  <si>
    <t>2019 Apr 2</t>
  </si>
  <si>
    <t>New Concept Mining </t>
  </si>
  <si>
    <t>2019 Feb 1</t>
  </si>
  <si>
    <t>Noland Drilling Equipment</t>
  </si>
  <si>
    <t>2019 Jan 3</t>
  </si>
  <si>
    <t>Fordia</t>
  </si>
  <si>
    <t>2018 Nov 2</t>
  </si>
  <si>
    <t>Sautec</t>
  </si>
  <si>
    <t>2018 Oct 30</t>
  </si>
  <si>
    <t>ASI Mining (34%)** </t>
  </si>
  <si>
    <t>2018 Feb 1</t>
  </si>
  <si>
    <t>Hy-Performance Fluid Power</t>
  </si>
  <si>
    <t>2018 Jan 3</t>
  </si>
  <si>
    <t>Rock Drill Services Australia</t>
  </si>
  <si>
    <t>Cate Drilling Solutions</t>
  </si>
  <si>
    <t>2018 Jan 2</t>
  </si>
  <si>
    <t>Renegade Drilling Supplies</t>
  </si>
  <si>
    <t>2017 Jul 4</t>
  </si>
  <si>
    <t>Mobilaris MCE AB (34%)**</t>
  </si>
  <si>
    <t>2017 Feb 2</t>
  </si>
  <si>
    <t>Erkat</t>
  </si>
  <si>
    <t>2014 Feb 3</t>
  </si>
  <si>
    <t>Geawelltech</t>
  </si>
  <si>
    <t>2013 Oct 17</t>
  </si>
  <si>
    <t>Archer Underbalanced Services</t>
  </si>
  <si>
    <t>2013 Apr 3</t>
  </si>
  <si>
    <t>MEYCO</t>
  </si>
  <si>
    <t>2013 Mar 5</t>
  </si>
  <si>
    <t>Shandong Rock Drilling Tools Co., Ltd.</t>
  </si>
  <si>
    <t>2012 Oct 26</t>
  </si>
  <si>
    <t>NewTech Drilling Products, LLC.</t>
  </si>
  <si>
    <t>2012 Jan 31</t>
  </si>
  <si>
    <t>Neumatica - Colombian distributor</t>
  </si>
  <si>
    <t>GIA Industri AB</t>
  </si>
  <si>
    <t>2012 Jan 12</t>
  </si>
  <si>
    <t>Perfora S.p.A</t>
  </si>
  <si>
    <t>M&amp;A</t>
  </si>
  <si>
    <t xml:space="preserve">Revenue Stream </t>
  </si>
  <si>
    <t xml:space="preserve">Equipment (Underground) </t>
  </si>
  <si>
    <t xml:space="preserve">Large Orders </t>
  </si>
  <si>
    <t xml:space="preserve">M&amp;A </t>
  </si>
  <si>
    <t xml:space="preserve">Segments (Old) </t>
  </si>
  <si>
    <t xml:space="preserve">As of 2023-01-01 the exploration-related products and solutions are gathered in a new business line called OreBody Solutions, which reports under the Surface division (equipment). It includes the traditional drilling rigs from the Surface division, the exploration consumables from T&amp;A as well as the spare parts from Service. Figures for 2022 have been restated in sheet "Segments". In this sheet you find reported numbers until 2022-12-31. </t>
  </si>
  <si>
    <t>Adjusted operating margin, E&amp;S, %</t>
  </si>
  <si>
    <t>* As reported in income statement</t>
  </si>
  <si>
    <t xml:space="preserve">Blue = Exploration moved from T&amp;A to E&amp;S (Equipment) in Q1 2023. Figures for 2022 have been restated. </t>
  </si>
  <si>
    <t xml:space="preserve">Orders received, MSEK </t>
  </si>
  <si>
    <t>Q219</t>
  </si>
  <si>
    <t>Q319</t>
  </si>
  <si>
    <t>Q419</t>
  </si>
  <si>
    <t>Q120</t>
  </si>
  <si>
    <t>Orders received, MSEK</t>
  </si>
  <si>
    <t xml:space="preserve">Revenues, MSEK </t>
  </si>
  <si>
    <t xml:space="preserve">Operating profit, MSEK </t>
  </si>
  <si>
    <t xml:space="preserve">Total depreciation and amortization, MSEK </t>
  </si>
  <si>
    <t xml:space="preserve">EBITDA, MSEK </t>
  </si>
  <si>
    <t>Gross profit, MSEK</t>
  </si>
  <si>
    <t>Operating profit, MSEK</t>
  </si>
  <si>
    <t>Adjusted operating margin for the Group, MSEK</t>
  </si>
  <si>
    <t>Profit before tax, MSEK</t>
  </si>
  <si>
    <t>Total assets, MSEK</t>
  </si>
  <si>
    <t>Non-interest bearing liabilities and provisions, MSEK</t>
  </si>
  <si>
    <t xml:space="preserve">Capital employed, period end, MSEK </t>
  </si>
  <si>
    <t>Revenues, MSEK, 12 months</t>
  </si>
  <si>
    <t>Operating profit, MSEK, 12 months</t>
  </si>
  <si>
    <t>Inventories, MSEK</t>
  </si>
  <si>
    <t xml:space="preserve">Trade receivables, MSEK </t>
  </si>
  <si>
    <t>Trade payables, MSEK</t>
  </si>
  <si>
    <t>Average total assets, MSEK</t>
  </si>
  <si>
    <t>Interest-bearing liabilities and post-employment benefits, MSEK</t>
  </si>
  <si>
    <t>Cash and cash equivalents, MSEK</t>
  </si>
  <si>
    <t>Other financial assets, MSEK</t>
  </si>
  <si>
    <t>Adjustment for fair value of interest-rate swaps, MSEK</t>
  </si>
  <si>
    <t>Total equity, MSEK</t>
  </si>
  <si>
    <t>EBITDA, MSEK, 12 months</t>
  </si>
  <si>
    <t>Net profit, MSEK, 12 months</t>
  </si>
  <si>
    <t>Average total equity, MSEK</t>
  </si>
  <si>
    <t>Cash flow from operating activities, MSEK</t>
  </si>
  <si>
    <t>Net cash from investing activities, MSEK</t>
  </si>
  <si>
    <t>Acquisitions and divestments of subsidiaries, MSEK</t>
  </si>
  <si>
    <r>
      <t xml:space="preserve">Other adjustments </t>
    </r>
    <r>
      <rPr>
        <vertAlign val="superscript"/>
        <sz val="8"/>
        <rFont val="Arial"/>
        <family val="2"/>
      </rPr>
      <t>(2)</t>
    </r>
    <r>
      <rPr>
        <sz val="8"/>
        <rFont val="Arial"/>
        <family val="2"/>
      </rPr>
      <t>, MSEK</t>
    </r>
  </si>
  <si>
    <t>Q118</t>
  </si>
  <si>
    <t>Q218</t>
  </si>
  <si>
    <t>Q318</t>
  </si>
  <si>
    <t>Q418</t>
  </si>
  <si>
    <t>Q119</t>
  </si>
  <si>
    <t>Q117</t>
  </si>
  <si>
    <t>Q217</t>
  </si>
  <si>
    <t>Q317</t>
  </si>
  <si>
    <t>Q417</t>
  </si>
  <si>
    <t>Items affecting comparability*, MSEK</t>
  </si>
  <si>
    <t>Split and incentive program costs, MSEK</t>
  </si>
  <si>
    <t>Revenue split by reporting segment, %</t>
  </si>
  <si>
    <t>Revenue split by business type, %</t>
  </si>
  <si>
    <t>Geographical distribution of revenues, %</t>
  </si>
  <si>
    <t xml:space="preserve">Provisions, MSEK </t>
  </si>
  <si>
    <t xml:space="preserve"> Newmont Goldcorp</t>
  </si>
  <si>
    <t xml:space="preserve"> Peñoles</t>
  </si>
  <si>
    <t xml:space="preserve"> Rental Group</t>
  </si>
  <si>
    <t xml:space="preserve"> Rio Tinto</t>
  </si>
  <si>
    <t xml:space="preserve"> Roy Hill</t>
  </si>
  <si>
    <t xml:space="preserve"> Sibanye-Stillwater</t>
  </si>
  <si>
    <t xml:space="preserve"> Vale</t>
  </si>
  <si>
    <t xml:space="preserve"> Veidekke</t>
  </si>
  <si>
    <t>Anglo American</t>
  </si>
  <si>
    <t xml:space="preserve">Züblin </t>
  </si>
  <si>
    <t xml:space="preserve"> Votorantim</t>
  </si>
  <si>
    <t xml:space="preserve"> Assmang Proprietary Limited</t>
  </si>
  <si>
    <t xml:space="preserve"> Barrick Gold Corporation</t>
  </si>
  <si>
    <t xml:space="preserve"> Boliden</t>
  </si>
  <si>
    <t xml:space="preserve"> BHP</t>
  </si>
  <si>
    <t xml:space="preserve"> Dragados</t>
  </si>
  <si>
    <t xml:space="preserve"> Freeport-McMoRan</t>
  </si>
  <si>
    <t xml:space="preserve"> First Quantum Minerals</t>
  </si>
  <si>
    <t xml:space="preserve"> Glencore</t>
  </si>
  <si>
    <t xml:space="preserve"> Heidelberg Cement</t>
  </si>
  <si>
    <t xml:space="preserve"> Hochtief</t>
  </si>
  <si>
    <t xml:space="preserve"> LKAB</t>
  </si>
  <si>
    <t xml:space="preserve"> Lundin Mining Corporation</t>
  </si>
  <si>
    <t>** Proposed by the Board</t>
  </si>
  <si>
    <t>Q123</t>
  </si>
  <si>
    <t>2023 Q1</t>
  </si>
  <si>
    <t>“Four orders are what we consider being large ones, which is above SEK100 million, and this totaled SEK900 million for these large orders.”</t>
  </si>
  <si>
    <t xml:space="preserve">9-12 months </t>
  </si>
  <si>
    <t>Sweden</t>
  </si>
  <si>
    <t xml:space="preserve">Zinc, copper, lead, gold and silver </t>
  </si>
  <si>
    <t>Yes</t>
  </si>
  <si>
    <t xml:space="preserve">Deep Automation, will be used to automate Boliden’s material handling process. </t>
  </si>
  <si>
    <t>https://www.epirocgroup.com/en/media/corporate-press-releases/2023/20230531-epiroc-wins-large-mining-equipment-order-including-battery-and-automation-solutions-from-boliden-in-sweden</t>
  </si>
  <si>
    <t>Q223</t>
  </si>
  <si>
    <t> Key assets Schramm Australia</t>
  </si>
  <si>
    <t xml:space="preserve"> -   </t>
  </si>
  <si>
    <t>2023 Q2</t>
  </si>
  <si>
    <t>Q323</t>
  </si>
  <si>
    <t>2023 Q3</t>
  </si>
  <si>
    <t>Revenue by revenue stream, %</t>
  </si>
  <si>
    <t xml:space="preserve">“We received 4 large orders in the quarter, and with large, we mean over SEK 100 million. And in total, large order represent around SEK 550 </t>
  </si>
  <si>
    <t>https://www.epirocgroup.com/en/media/corporate-press-releases/2023/20231010-epiroc-wins-large-order-for-minetruck-mt65-s-haulers-for-new-lithium-mine-in-australia</t>
  </si>
  <si>
    <t>2024-2025</t>
  </si>
  <si>
    <t>Byrnecut</t>
  </si>
  <si>
    <t>Lithium as well as tantalum</t>
  </si>
  <si>
    <t xml:space="preserve">Certiq </t>
  </si>
  <si>
    <t xml:space="preserve">Fleet of Minetruck MT65 S haulers, the world’s highest payload underground truck in the field. </t>
  </si>
  <si>
    <t>2024+</t>
  </si>
  <si>
    <t>Kamoa Copper SA </t>
  </si>
  <si>
    <t>The mine is projected to be among the world’s lowest greenhouse gas-emitting copper mines per unit of metal produced.</t>
  </si>
  <si>
    <t xml:space="preserve">Telematics </t>
  </si>
  <si>
    <t>https://www.epirocgroup.com/en/media/corporate-press-releases/2023/20230905-epiroc-and-kamoa-copper-strengthen-partnership-in-democratic-republic-of-the-congo</t>
  </si>
  <si>
    <t xml:space="preserve">Total mentioned in call </t>
  </si>
  <si>
    <t>Total</t>
  </si>
  <si>
    <t>Depreciation, amortization and impairment (see below)</t>
  </si>
  <si>
    <t xml:space="preserve"> - whereof goodwill </t>
  </si>
  <si>
    <t>Q423</t>
  </si>
  <si>
    <t>2023 Q4</t>
  </si>
  <si>
    <t>2023 Full year</t>
  </si>
  <si>
    <t>Sale of assets held for sale</t>
  </si>
  <si>
    <t xml:space="preserve">Weco Proprietary Limited </t>
  </si>
  <si>
    <t xml:space="preserve">Mining </t>
  </si>
  <si>
    <t xml:space="preserve">Multi year </t>
  </si>
  <si>
    <t xml:space="preserve">Digital </t>
  </si>
  <si>
    <t>No</t>
  </si>
  <si>
    <t xml:space="preserve">Yes. Digitalization </t>
  </si>
  <si>
    <t>Fleet</t>
  </si>
  <si>
    <t>Mixed</t>
  </si>
  <si>
    <t>The fleet will primarily be used at a new copper mine. Smart machines + one BEV</t>
  </si>
  <si>
    <t>https://www.epirocgroup.com/en/media/corporate-press-releases/2023/20231219-epiroc-wins-large-mining-equipment-order-for-new-copper-mine-in-turkiye</t>
  </si>
  <si>
    <t>Shandong Gold Corp</t>
  </si>
  <si>
    <t xml:space="preserve">Ready for. </t>
  </si>
  <si>
    <t xml:space="preserve">Rigs, loaders, trucks and rock reinforcement for expansion. </t>
  </si>
  <si>
    <t>Last year, in Q3, we had around SEK 1 billion in large orders, so we are more or less on the same level this year as we were last year</t>
  </si>
  <si>
    <r>
      <t>2023</t>
    </r>
    <r>
      <rPr>
        <b/>
        <vertAlign val="superscript"/>
        <sz val="8"/>
        <rFont val="Arial"/>
        <family val="2"/>
      </rPr>
      <t>(1)</t>
    </r>
  </si>
  <si>
    <r>
      <t>2023</t>
    </r>
    <r>
      <rPr>
        <b/>
        <vertAlign val="superscript"/>
        <sz val="8"/>
        <rFont val="Arial"/>
        <family val="2"/>
      </rPr>
      <t>(2)</t>
    </r>
  </si>
  <si>
    <t>"1.2 billion"</t>
  </si>
  <si>
    <t xml:space="preserve">Diliution from acquistions, percentage points </t>
  </si>
  <si>
    <t>Enables comparisons over time - and between companies - by excluding items that are irregular in frequency or size.</t>
  </si>
  <si>
    <t>Shows how much of total capital is tied to operations.</t>
  </si>
  <si>
    <t>Shows how efficiently Epiroc generates revenues from the capital utilized to run operations.</t>
  </si>
  <si>
    <t>Shows how effectively total assets are used.</t>
  </si>
  <si>
    <t xml:space="preserve">Measures how much of Epiroc’s revenues are left after paying the costs of goods sold. </t>
  </si>
  <si>
    <t xml:space="preserve">Shows how non-recurring items have affected the result.  </t>
  </si>
  <si>
    <t>Measures Epiroc's liquidity and capital efficiency.</t>
  </si>
  <si>
    <t xml:space="preserve">Indicates Epiroc’s ability to generate sufficient positive cash flow to maintain and grow operations. </t>
  </si>
  <si>
    <t>Improves the ability to make comparisons over time.</t>
  </si>
  <si>
    <t xml:space="preserve">Helps monitor Epiroc's fulfillment of the financial goal of having market leading profitability. </t>
  </si>
  <si>
    <t xml:space="preserve">A good indicator of demand for Epiroc’s equipment and aftermarket. </t>
  </si>
  <si>
    <t>Explains how volume, price and product/service mix changes drive the growth.</t>
  </si>
  <si>
    <t>Facilitates monitoring of Epiroc’s financial target of a payout ratio
of 50%.</t>
  </si>
  <si>
    <t xml:space="preserve">Measures how efficiently Epiroc generates profits from the capital utilized to run operations. </t>
  </si>
  <si>
    <t>Shows Epiroc's ability to generate a return on the investments made by shareholders.</t>
  </si>
  <si>
    <t>Q124</t>
  </si>
  <si>
    <t>2024 Q1</t>
  </si>
  <si>
    <t>* Adjusted operating profit, EBIT</t>
  </si>
  <si>
    <t>* Adjusted operating margin, EBIT, %</t>
  </si>
  <si>
    <t>* EBITA</t>
  </si>
  <si>
    <t xml:space="preserve">* EBITA margin, % </t>
  </si>
  <si>
    <t>Operating margin, EBIT, %</t>
  </si>
  <si>
    <t>Operating profit, EBIT, and profit before tax, MSEK</t>
  </si>
  <si>
    <t>Adjusted operating profit, EBIT, MSEK</t>
  </si>
  <si>
    <t>Adj. EBIT margin for items affecting comparability, %</t>
  </si>
  <si>
    <t>Adjusted EBITA, MSEK</t>
  </si>
  <si>
    <t>Adj. EBITA margin for items affecting comparability, %</t>
  </si>
  <si>
    <t>Adjusted EBITA margin, E&amp;S, %</t>
  </si>
  <si>
    <t xml:space="preserve">Adjusted EBITA margin, T&amp;A, % </t>
  </si>
  <si>
    <t xml:space="preserve">Adjusted EBITA margin, Group, % </t>
  </si>
  <si>
    <t xml:space="preserve">Adjusted operating margin, Group, % </t>
  </si>
  <si>
    <t xml:space="preserve">M&amp;A contribution </t>
  </si>
  <si>
    <t>Revenue contribution from acquisitions, MSEK,  YTD</t>
  </si>
  <si>
    <t xml:space="preserve">EBIT contribution from acquisitions, MSEK, YTD </t>
  </si>
  <si>
    <t>Revenue contribution from acquisitions, MSEK, Quarter</t>
  </si>
  <si>
    <t xml:space="preserve">EBIT contribution from acquisitions, MSEK, Quarter </t>
  </si>
  <si>
    <t>Cash flow effect, MSEK, YTD</t>
  </si>
  <si>
    <t>Cash flow effect, MSEK, Quarter</t>
  </si>
  <si>
    <t>Intangible assets, MSEK, YTD</t>
  </si>
  <si>
    <t>Intangible assets, MSEK, Quarter</t>
  </si>
  <si>
    <t>Goodwill, MSEK, YTD</t>
  </si>
  <si>
    <t xml:space="preserve">Goodwill, MSEK, Quarter </t>
  </si>
  <si>
    <t xml:space="preserve">Implied margin for the period, % </t>
  </si>
  <si>
    <t xml:space="preserve">Balance sheet effect </t>
  </si>
  <si>
    <t xml:space="preserve">M&amp;A growth </t>
  </si>
  <si>
    <t>Tools &amp; Attachements</t>
  </si>
  <si>
    <t>+3.5</t>
  </si>
  <si>
    <t>+0</t>
  </si>
  <si>
    <t>+2.5</t>
  </si>
  <si>
    <t>+9.0</t>
  </si>
  <si>
    <t>+3.0</t>
  </si>
  <si>
    <t>+11.0</t>
  </si>
  <si>
    <t>+7.3</t>
  </si>
  <si>
    <t>+1.0</t>
  </si>
  <si>
    <t>+13.0</t>
  </si>
  <si>
    <t xml:space="preserve">Orders on hand in structure* </t>
  </si>
  <si>
    <t xml:space="preserve">Telematics, RCS, enabled fleet, units </t>
  </si>
  <si>
    <t>Mixed fleet teleremote</t>
  </si>
  <si>
    <t>Epiroc autonomous drill rigs</t>
  </si>
  <si>
    <t xml:space="preserve">Mixed fleet autonomous load/haul </t>
  </si>
  <si>
    <t xml:space="preserve">Other relevant KPIs </t>
  </si>
  <si>
    <t>Digitalization, Automation and Electrification KPIs</t>
  </si>
  <si>
    <t>H12022</t>
  </si>
  <si>
    <t>African Rainbow Minerals</t>
  </si>
  <si>
    <t>Barrick Gold Corporation</t>
  </si>
  <si>
    <t>BHP</t>
  </si>
  <si>
    <t>Boliden</t>
  </si>
  <si>
    <t>Codelco</t>
  </si>
  <si>
    <t>JCHX Mining and Construction Ltd</t>
  </si>
  <si>
    <t>Kamoa Copper</t>
  </si>
  <si>
    <t>Peñoles</t>
  </si>
  <si>
    <t>Roy Hill</t>
  </si>
  <si>
    <t>Shandong Gold Group Co.</t>
  </si>
  <si>
    <t>Sibanye Stillwater</t>
  </si>
  <si>
    <t xml:space="preserve">Skanska </t>
  </si>
  <si>
    <t>Vale</t>
  </si>
  <si>
    <t xml:space="preserve">No of driverless machines (mixed fleet) </t>
  </si>
  <si>
    <t>EBITA</t>
  </si>
  <si>
    <t xml:space="preserve">Seasonality </t>
  </si>
  <si>
    <t>Historically Q3 has somewhat lower orders and revenues than Q2.</t>
  </si>
  <si>
    <t xml:space="preserve">Historically Q4 has somewhat higher revenues than Q3. </t>
  </si>
  <si>
    <t xml:space="preserve">Guidance for modelling purposes </t>
  </si>
  <si>
    <t xml:space="preserve">Capex </t>
  </si>
  <si>
    <t xml:space="preserve">Tax rate </t>
  </si>
  <si>
    <t>Epiroc has low CapEx needs, roughly between 1% to 2% of revenues per year.</t>
  </si>
  <si>
    <t xml:space="preserve">Below 25% (until Q322) </t>
  </si>
  <si>
    <t xml:space="preserve">Between 22%-24% (from Q322) </t>
  </si>
  <si>
    <t xml:space="preserve">Historically, Q1 has somewhat lower revenues than Q4. Attachments generally strong in H1. </t>
  </si>
  <si>
    <t xml:space="preserve">Historically, Q2 has somewhat higher revenues than Q1. Attachments generally strong in H1. </t>
  </si>
  <si>
    <t xml:space="preserve">Orders on hand included in Orders received, %  </t>
  </si>
  <si>
    <t>Reported opening balance</t>
  </si>
  <si>
    <t>Adjustment IAC</t>
  </si>
  <si>
    <t>Adjusted opening balance</t>
  </si>
  <si>
    <t>Organic</t>
  </si>
  <si>
    <t>Currency</t>
  </si>
  <si>
    <t>Structure</t>
  </si>
  <si>
    <t>Operational closing balance</t>
  </si>
  <si>
    <t>Reported closing balance</t>
  </si>
  <si>
    <t>of which translation</t>
  </si>
  <si>
    <t>of which transaction</t>
  </si>
  <si>
    <t xml:space="preserve">Adjusted bridges </t>
  </si>
  <si>
    <t xml:space="preserve">Orders on hand </t>
  </si>
  <si>
    <t>Effective January 1, 2024, electrification infrastructure business has moved from Service to Equipment and figures for 2023 have been restated.</t>
  </si>
  <si>
    <t xml:space="preserve">Dilution from acquisitions, percentage points </t>
  </si>
  <si>
    <t>Non-controlling interest</t>
  </si>
  <si>
    <t>Earnings before interest, taxes, depreciation and amortization. Alternatively; the operating profit plus depreciation, impairment and amortization.</t>
  </si>
  <si>
    <t>Other operating assets and liabilities, MSEK</t>
  </si>
  <si>
    <t>Diluted number of shares outstanding, millions</t>
  </si>
  <si>
    <t xml:space="preserve">* In 2021-2023 Epiroc added orders on hand from acquired companies in orders received. As of 2024, Epiroc report orders on hand separately. </t>
  </si>
  <si>
    <t>Effective January 1, 2024, electrification infrastructure business has moved from Service to Equipment. The tables below for 2023 have not been updated with restated figures.</t>
  </si>
  <si>
    <t>Earnings before interest, taxes, and amortization and impairment of intangible assets. Alternatively; the operating profit plus amortization and impairment.</t>
  </si>
  <si>
    <t>Orders on hand are orders that have been placed but not yet completed and recognized as revenues.</t>
  </si>
  <si>
    <t xml:space="preserve">When Epiroc acquired companies 2018-2023, Epiroc added orders on hand in the" Structure" in the bridge. As from 2024, Epiroc will disclose orders on hand from acquisitions separately. </t>
  </si>
  <si>
    <t>Orders above MSEK 100.</t>
  </si>
  <si>
    <t>Shows orders impacting comparability.</t>
  </si>
  <si>
    <t>Adjustment OOH</t>
  </si>
  <si>
    <t>"400"</t>
  </si>
  <si>
    <t xml:space="preserve">Dumas Contracting Ltd. </t>
  </si>
  <si>
    <t>Silver</t>
  </si>
  <si>
    <t>https://www.epirocgroup.com/en/media/corporate-press-releases/2024/20240311-epiroc-wins-large-mining-equipment-order-in-mexico</t>
  </si>
  <si>
    <t>Epiroc wins its largest order ever for digital solutions to strengthen mining safety and productivity in Chile | Epiroc (epirocgroup.com)</t>
  </si>
  <si>
    <t>Range of Epiroc rigs for face drilling, production drilling and rock reinforcement, as well as loaders and mine trucks for use at a silver mine in northern Mexico.</t>
  </si>
  <si>
    <t>Adjustment</t>
  </si>
  <si>
    <t>EBITA, MSEK</t>
  </si>
  <si>
    <t>As from January 1, 2024, Epiroc will not include orders on hand (order book) in orders received when acquiring companies. The previously reported orders received in the first quarter 2023 of MSEK 15 148 included orders on hand from acquired companies of MSEK 433. Figures in this table have not been restated.</t>
  </si>
  <si>
    <t xml:space="preserve">Annual, absolute </t>
  </si>
  <si>
    <t xml:space="preserve">Annual, % </t>
  </si>
  <si>
    <t xml:space="preserve">Quarterly, absolute </t>
  </si>
  <si>
    <t xml:space="preserve">Quarterly, % </t>
  </si>
  <si>
    <t>Q224</t>
  </si>
  <si>
    <t>2024 Q2</t>
  </si>
  <si>
    <t>"950"</t>
  </si>
  <si>
    <t>India</t>
  </si>
  <si>
    <t>Hindustan Zinc (Vedanta Group)</t>
  </si>
  <si>
    <t>"Smart" + RCS</t>
  </si>
  <si>
    <t>Fleet of mine trucks as well as rigs for rock reinforcement, face drilling and production drilling.</t>
  </si>
  <si>
    <t>https://www.epirocgroup.com/en/media/corporate-press-releases/2024/20240604-epiroc-wins-large-mining-equipment-order-in-india</t>
  </si>
  <si>
    <t>Property and machinery</t>
  </si>
  <si>
    <t>ACB+</t>
  </si>
  <si>
    <t>Tools &amp; Attachments </t>
  </si>
  <si>
    <t>ASI Mining (remaining share)</t>
  </si>
  <si>
    <t>Yieldpoint</t>
  </si>
  <si>
    <t>NA</t>
  </si>
  <si>
    <t xml:space="preserve">Multi-year order for digital solutions. The total order value is MSEK 250, whereof MSEK 50 was booked in the quarter. </t>
  </si>
  <si>
    <t>M&amp;A contribution</t>
  </si>
  <si>
    <t>M&amp;A impact</t>
  </si>
  <si>
    <t>Q224**</t>
  </si>
  <si>
    <t>** Dilution on adjusted EBIT</t>
  </si>
  <si>
    <t>Q2 2024</t>
  </si>
  <si>
    <t xml:space="preserve">Electrification revenues of Group revenues, % </t>
  </si>
  <si>
    <t xml:space="preserve">CAS 9 delivered </t>
  </si>
  <si>
    <t xml:space="preserve">CAS 7-8 delivered </t>
  </si>
  <si>
    <t>100+</t>
  </si>
  <si>
    <t>3000+</t>
  </si>
  <si>
    <t xml:space="preserve">Sites with situational awareness systems </t>
  </si>
  <si>
    <t>45+</t>
  </si>
  <si>
    <t xml:space="preserve">Active electric fleet of rigs, loaders and trucks </t>
  </si>
  <si>
    <t>600+</t>
  </si>
  <si>
    <t xml:space="preserve">New sales ratio in equipment divisions (share of revenues sold that was launched during the last 5 years, incl. RCT) </t>
  </si>
  <si>
    <t>Q324</t>
  </si>
  <si>
    <t>Q125-into H226</t>
  </si>
  <si>
    <t xml:space="preserve">Kazakhstan </t>
  </si>
  <si>
    <t xml:space="preserve">Eurasian Resources Group (ERG) </t>
  </si>
  <si>
    <t xml:space="preserve">Ferrochrome </t>
  </si>
  <si>
    <t>Several of the machines will be operated driverless (tele-remotely), and all of the equipment will be supplied with a collision avoidance system. </t>
  </si>
  <si>
    <t>https://www.epirocgroup.com/en/media/corporate-press-releases/2024/20241008-epiroc-wins-large-underground-mining-equipment-order-in-kazakhstan</t>
  </si>
  <si>
    <t>Q4-H125</t>
  </si>
  <si>
    <t xml:space="preserve">Fleet pf PV231 and SmartROC D65 </t>
  </si>
  <si>
    <t xml:space="preserve">Fleet of BEV loaders, trucks and drilling rigs </t>
  </si>
  <si>
    <t xml:space="preserve">Newmont </t>
  </si>
  <si>
    <t>https://www.epirocgroup.com/en/media/corporate-press-releases/2024/20241008-epiroc-wins-large-mining-equipment-order-in-australia</t>
  </si>
  <si>
    <t>The rigs, which will be operated tele-remotely, will replace an older fleet of Epiroc equipment.</t>
  </si>
  <si>
    <t>https://www.epirocgroup.com/en/media/corporate-press-releases/2024/20240909-epiroc-wins-large-equipment-order-for-australian-lithium-mine</t>
  </si>
  <si>
    <t>Sept 2024-early 2025</t>
  </si>
  <si>
    <t>Feet of 14 Epiroc SmartROC D65 surface drill rigs</t>
  </si>
  <si>
    <t>Pilbara Minerals</t>
  </si>
  <si>
    <t xml:space="preserve">Lithium </t>
  </si>
  <si>
    <t>2024 Q3</t>
  </si>
  <si>
    <t xml:space="preserve">Infrastructure </t>
  </si>
  <si>
    <t xml:space="preserve">Revenue by customer type, % (see also sheet OIB) </t>
  </si>
  <si>
    <t>Revenue split in E&amp;S, %</t>
  </si>
  <si>
    <t xml:space="preserve">Cash conversion, % </t>
  </si>
  <si>
    <t>Q424</t>
  </si>
  <si>
    <t>2024 Q4</t>
  </si>
  <si>
    <t>2024 Full year</t>
  </si>
  <si>
    <r>
      <t>2024</t>
    </r>
    <r>
      <rPr>
        <b/>
        <vertAlign val="superscript"/>
        <sz val="8"/>
        <rFont val="Arial"/>
        <family val="2"/>
      </rPr>
      <t>(1)</t>
    </r>
  </si>
  <si>
    <r>
      <t>2024</t>
    </r>
    <r>
      <rPr>
        <b/>
        <vertAlign val="superscript"/>
        <sz val="8"/>
        <rFont val="Arial"/>
        <family val="2"/>
      </rPr>
      <t>(2)</t>
    </r>
  </si>
  <si>
    <t>CAGR 2015-2024</t>
  </si>
  <si>
    <t>The cash conversion rate measures how efficiently a company converts its net income into operating cash flow.</t>
  </si>
  <si>
    <t xml:space="preserve">Operating cash flow divided by net profit, rolling 12 months </t>
  </si>
  <si>
    <t>https://www.epirocgroup.com/en/media/corporate-press-releases/2025/20250107-epiroc-wins-large-order-for-autonomous-surface-mining-equipment-in-australia</t>
  </si>
  <si>
    <t>Q425</t>
  </si>
  <si>
    <t>Fleet of Pit Viper 271</t>
  </si>
  <si>
    <t>Not disclosed</t>
  </si>
  <si>
    <t>https://www.epirocgroup.com/en/media/corporate-press-releases/2025/20250116-epiroc-wins-large-orders-for-mining-connectivity-solutions-in-australia</t>
  </si>
  <si>
    <t>Q425 into Q126</t>
  </si>
  <si>
    <t>Fleet Pit Viper 351 and Pit Viper 271</t>
  </si>
  <si>
    <t>A fleet of autonomous Pit Viper 351 and Pit Viper 271 rigs</t>
  </si>
  <si>
    <t>A fleet of Pit Viper 271 blasthole drill rigs</t>
  </si>
  <si>
    <t>The mining companies ordered Long-Term Evolution (LTE) and digital connectivity solutions that include telecommunications towers, huts and power systems.</t>
  </si>
  <si>
    <t>Sites with Battery-Electric Vehicles (BEV) in operations</t>
  </si>
  <si>
    <t>Sites that have ordered BEVs, not necessarily yet machines in operations</t>
  </si>
  <si>
    <t>Recurring BEV customers among the sites with BEVs running in operations</t>
  </si>
  <si>
    <r>
      <rPr>
        <b/>
        <sz val="9"/>
        <color theme="1"/>
        <rFont val="Arial"/>
        <family val="2"/>
        <scheme val="minor"/>
      </rPr>
      <t>Totals and roundings</t>
    </r>
    <r>
      <rPr>
        <sz val="9"/>
        <color theme="1"/>
        <rFont val="Arial"/>
        <family val="2"/>
        <scheme val="minor"/>
      </rPr>
      <t xml:space="preserve">
Totals quoted in tables and statements may not always be the exact sum of the individual items because of rounding differences. The aim is that each line item should correspond to its source, and round¬ing differences may therefore arise.</t>
    </r>
  </si>
  <si>
    <r>
      <t xml:space="preserve">Language 
</t>
    </r>
    <r>
      <rPr>
        <sz val="9"/>
        <color theme="1"/>
        <rFont val="Arial"/>
        <family val="2"/>
        <scheme val="minor"/>
      </rPr>
      <t>In the event of inconsistency or discrepancy between the English and the Swedish quarterly report, presentation and/or this publication, the Swedish version of the quarterly report shall prevail.</t>
    </r>
  </si>
  <si>
    <t xml:space="preserve">Digital Solutions </t>
  </si>
  <si>
    <t xml:space="preserve">Argentina </t>
  </si>
  <si>
    <t xml:space="preserve">Geographical distribution of revenues, MSEK </t>
  </si>
  <si>
    <t xml:space="preserve">Panama </t>
  </si>
  <si>
    <t xml:space="preserve">Portugal </t>
  </si>
  <si>
    <t xml:space="preserve">Ghana </t>
  </si>
  <si>
    <t>Congo (DRC)</t>
  </si>
  <si>
    <t xml:space="preserve">Indonesia </t>
  </si>
  <si>
    <t xml:space="preserve">Mongolia </t>
  </si>
  <si>
    <t xml:space="preserve">Philippines </t>
  </si>
  <si>
    <t>South korea</t>
  </si>
  <si>
    <t>Panama</t>
  </si>
  <si>
    <t xml:space="preserve">Congo (DRC) </t>
  </si>
  <si>
    <t xml:space="preserve">% of Group revenues </t>
  </si>
  <si>
    <t>Q125</t>
  </si>
  <si>
    <t>Q125-Q325</t>
  </si>
  <si>
    <t>https://www.epirocgroup.com/en/media/corporate-press-releases/2025/20250313-epiroc-wins-large-order-for-battery-electric-vehicles-for-canadian-gold-and-copper-mine</t>
  </si>
  <si>
    <t>Fleet of BEVs</t>
  </si>
  <si>
    <t xml:space="preserve">Hudbay Minerals </t>
  </si>
  <si>
    <t xml:space="preserve">Underground </t>
  </si>
  <si>
    <t>BEV versions of the Boomer M20 SG face drilling rig, the Scooptram ST18 SG and Scooptram ST14 SG loader, and the Minetruck MT42 SG hauler. </t>
  </si>
  <si>
    <t>FY 2024</t>
  </si>
  <si>
    <t>Group</t>
  </si>
  <si>
    <t>EBIT</t>
  </si>
  <si>
    <t>Adjusted EBITA</t>
  </si>
  <si>
    <t>Amortization</t>
  </si>
  <si>
    <t>Items Affecting Comparability</t>
  </si>
  <si>
    <t>T&amp;A acq.</t>
  </si>
  <si>
    <t>Revenue Contribution</t>
  </si>
  <si>
    <t>EBIT Contribution</t>
  </si>
  <si>
    <t xml:space="preserve">T&amp;A and Stanley Infrastructure </t>
  </si>
  <si>
    <t>Atlas Copco Group</t>
  </si>
  <si>
    <t>See figures from previous group structure below</t>
  </si>
  <si>
    <t>Mining and Rock Excavation Technique</t>
  </si>
  <si>
    <t>Items affecting comparability in operating profit</t>
  </si>
  <si>
    <t>Operating margin, excl. items affecting comparability</t>
  </si>
  <si>
    <t>Atlas Copco Group - Structure prior to Jan 1, 2017</t>
  </si>
  <si>
    <t>Restated IAS 19 + Proforma with the move of the Specialty Rental division from Compressor Technique to Construction Technique</t>
  </si>
  <si>
    <t>Continuing operations</t>
  </si>
  <si>
    <t>Construction Technique</t>
  </si>
  <si>
    <t>Atlas Copco Group - Structure prior to July 1, 2011</t>
  </si>
  <si>
    <t>Restated</t>
  </si>
  <si>
    <t>Note!</t>
  </si>
  <si>
    <t>IFRS</t>
  </si>
  <si>
    <t>of the equipment rental business</t>
  </si>
  <si>
    <t>Construction and Mining Technique</t>
  </si>
  <si>
    <t xml:space="preserve">Epiroc Restated </t>
  </si>
  <si>
    <t xml:space="preserve">Atlas Copco (Old) </t>
  </si>
  <si>
    <t xml:space="preserve">Epiroc Attachments, implied </t>
  </si>
  <si>
    <t>Share of T&amp;A</t>
  </si>
  <si>
    <t>Through 2017</t>
  </si>
  <si>
    <t>Through 2022-12-31</t>
  </si>
  <si>
    <t>+46 10 755 0719</t>
  </si>
  <si>
    <t>ir@epiroc.com</t>
  </si>
  <si>
    <t>Reference in Annual and Sustainability Report 2024</t>
  </si>
  <si>
    <t>Sustainability performance</t>
  </si>
  <si>
    <t>Environment</t>
  </si>
  <si>
    <t>2019 (BY) Restated</t>
  </si>
  <si>
    <t>2025 Target</t>
  </si>
  <si>
    <t>Emissions</t>
  </si>
  <si>
    <t>p.99-100</t>
  </si>
  <si>
    <t>SCOPE 1 GHG EMISSIONS ((tCO2e) - On-site</t>
  </si>
  <si>
    <t>SCOPE 1 GHG EMISSIONS (ktCO2e) - Company Vehicles</t>
  </si>
  <si>
    <t>SCOPE 1 GHG EMISSIONS (ktCO2e) - Total</t>
  </si>
  <si>
    <t>SCOPE 2 GHG EMISSIONS (ktCO2e) - On-site</t>
  </si>
  <si>
    <t>SCOPE 2 GHG EMISSIONS (ktCO2e) - Company Vehicles</t>
  </si>
  <si>
    <t>SCOPE 2 GHG EMISSIONS (ktCO2e) - Total (market-based)</t>
  </si>
  <si>
    <t>SCOPE 2 GHG EMISSIONS (ktCO2e) - Total (location-based)</t>
  </si>
  <si>
    <t>p.97, 100</t>
  </si>
  <si>
    <t>SCOPE 1 &amp; 2 GHG EMISSIONS (ktCO2e) - (market-based)</t>
  </si>
  <si>
    <t>Target</t>
  </si>
  <si>
    <t>SCOPE 3 GHG EMISSIONS (ktCO2e) - Purchased goods and services</t>
  </si>
  <si>
    <t>SCOPE 3 GHG EMISSIONS (ktCO2e) - Upstream and downstream transportation and distribution</t>
  </si>
  <si>
    <t>SCOPE 3 GHG EMISSIONS (ktCO2e) - Use of sold products</t>
  </si>
  <si>
    <t>p.98</t>
  </si>
  <si>
    <t>Range of emissions-free product offering, %</t>
  </si>
  <si>
    <t>Total GHG emissions per net revenue (location-based) (tCO2e /net revenue)</t>
  </si>
  <si>
    <t>0.11</t>
  </si>
  <si>
    <t>0.10</t>
  </si>
  <si>
    <t>Total GHG emissions per net revenue (market-based) (tCO2e /net revenue)</t>
  </si>
  <si>
    <t xml:space="preserve">Energy </t>
  </si>
  <si>
    <t>p.98, 100</t>
  </si>
  <si>
    <t>Total fossil energy consumption (GWh)</t>
  </si>
  <si>
    <t>Consumption from nuclear sources (GWh)</t>
  </si>
  <si>
    <t>Total renewable energy consumption (GWh</t>
  </si>
  <si>
    <t>Total energy consumption (GWh)</t>
  </si>
  <si>
    <t>Share of renewable sources in total energy consumption (%) - On-site</t>
  </si>
  <si>
    <t>Share of renewable sources in total energy consumption (%) - Total</t>
  </si>
  <si>
    <t>Share of renewable sources incl. renewable of mix in total energy consumption (%) - Total</t>
  </si>
  <si>
    <t>Total energy consumption per net revenue (MWh/MSEK)</t>
  </si>
  <si>
    <t>3.27</t>
  </si>
  <si>
    <t>4.59</t>
  </si>
  <si>
    <t>Water</t>
  </si>
  <si>
    <t>p.104</t>
  </si>
  <si>
    <t>Water withdrawal in water risk areas (’000 m3)</t>
  </si>
  <si>
    <t xml:space="preserve">Water withdrawal in water risk areas (in m3)/COS, MSEK </t>
  </si>
  <si>
    <t>&lt;4,0</t>
  </si>
  <si>
    <t>EU Taxonomy</t>
  </si>
  <si>
    <t>p.110, 113</t>
  </si>
  <si>
    <t>% Taxonomy-Aligned activities - Turnover</t>
  </si>
  <si>
    <t>% Taxonomy-Eligible activities - Turnover</t>
  </si>
  <si>
    <t>p.111, 113</t>
  </si>
  <si>
    <t>% Taxonomy-Eligible activities - Capex</t>
  </si>
  <si>
    <t>p.112-113</t>
  </si>
  <si>
    <t>% Taxonomy-Eligible activities - Opex</t>
  </si>
  <si>
    <t>p.113</t>
  </si>
  <si>
    <t>% Taxonomy-Eligible activities and additional revenues - Turnover</t>
  </si>
  <si>
    <t xml:space="preserve">Social </t>
  </si>
  <si>
    <t>Employees</t>
  </si>
  <si>
    <t>p.114</t>
  </si>
  <si>
    <t>p.119</t>
  </si>
  <si>
    <t xml:space="preserve">Nationalities among senior managers, number </t>
  </si>
  <si>
    <t>p.120</t>
  </si>
  <si>
    <t xml:space="preserve">Turnover, voluntary leave % </t>
  </si>
  <si>
    <t xml:space="preserve">Turnover, Total % </t>
  </si>
  <si>
    <t>New hires (headcount)</t>
  </si>
  <si>
    <t>p.121</t>
  </si>
  <si>
    <t>Employees by country, where Epiroc has at least 50 employees and
representing at least 10% of our total number of employees.</t>
  </si>
  <si>
    <t>Australia</t>
  </si>
  <si>
    <t>p.120-121</t>
  </si>
  <si>
    <t>Number of permanent employees</t>
  </si>
  <si>
    <t>Number of temporary employees</t>
  </si>
  <si>
    <t>Number of non-guaranteed hours employees</t>
  </si>
  <si>
    <t>Number of full-time employees</t>
  </si>
  <si>
    <t>Number of part-time employees</t>
  </si>
  <si>
    <t>Employees covered by Collective bargaining agreements, %</t>
  </si>
  <si>
    <t>p.122</t>
  </si>
  <si>
    <t>Women employees, period end, %</t>
  </si>
  <si>
    <t>&gt;20,8</t>
  </si>
  <si>
    <t>Women employees, Research and development, %</t>
  </si>
  <si>
    <t>Women employees, Marketing and sales, %</t>
  </si>
  <si>
    <t>Women employees, Manufacturing, %</t>
  </si>
  <si>
    <t>Women employees, Logistics, %</t>
  </si>
  <si>
    <t>Women employees, Service, %</t>
  </si>
  <si>
    <t xml:space="preserve">Women managers, period end, % </t>
  </si>
  <si>
    <t>&gt;25,5</t>
  </si>
  <si>
    <t>Compensation metrics, ratio of remuneration for highest paid individual to 
average total compensation for average employees</t>
  </si>
  <si>
    <t>Education and leadership</t>
  </si>
  <si>
    <t>p.117-118</t>
  </si>
  <si>
    <t xml:space="preserve">Yearly performance and development discussion, % </t>
  </si>
  <si>
    <t xml:space="preserve">Leadership index </t>
  </si>
  <si>
    <t xml:space="preserve">Safety </t>
  </si>
  <si>
    <t>p.123</t>
  </si>
  <si>
    <t>Fatalities, number</t>
  </si>
  <si>
    <t>No. of total recordable work-related injuries (TRI)</t>
  </si>
  <si>
    <t>Total recordable injury frequency rate (TRIFR)</t>
  </si>
  <si>
    <t>&lt;5,0</t>
  </si>
  <si>
    <t>&lt;4,5</t>
  </si>
  <si>
    <t>&lt;3,8</t>
  </si>
  <si>
    <t>High consequnce injuries</t>
  </si>
  <si>
    <t>No of days lost to work-related injuries and fatalities from work-related accidents, related to employee</t>
  </si>
  <si>
    <t xml:space="preserve">Sick leave due to illness and Lost-time injuries, % </t>
  </si>
  <si>
    <t>&lt;2.5</t>
  </si>
  <si>
    <t xml:space="preserve">Governance </t>
  </si>
  <si>
    <t xml:space="preserve">Ethics </t>
  </si>
  <si>
    <t>p.129-130</t>
  </si>
  <si>
    <t>Implemented Responsible Sales Assessment, %</t>
  </si>
  <si>
    <t>p.130</t>
  </si>
  <si>
    <t>Significant indirect sales channels that confirmed compliance with the Epiroc Business Partner Code of Conduct, %</t>
  </si>
  <si>
    <t>Significant suppliers that confirmed compliance with the Epiroc Business Partner Code of Conduct, %</t>
  </si>
  <si>
    <t>p.131</t>
  </si>
  <si>
    <t>Safety, health, social and environment audited suppliers, %</t>
  </si>
  <si>
    <t>p.143</t>
  </si>
  <si>
    <t>Managers that confirmed compliance with the Epiroc Code of Conduct, %</t>
  </si>
  <si>
    <t>Employees that confirmed compliance with the Epiroc Code of Conduct, %</t>
  </si>
  <si>
    <t>&gt;98</t>
  </si>
  <si>
    <t>Reported potential violations, number</t>
  </si>
  <si>
    <t>p.59-60, 62-63</t>
  </si>
  <si>
    <t xml:space="preserve">Board of Directors </t>
  </si>
  <si>
    <t xml:space="preserve">Board size Max. number according to articles </t>
  </si>
  <si>
    <t>6-12</t>
  </si>
  <si>
    <t xml:space="preserve">Board size, number </t>
  </si>
  <si>
    <t xml:space="preserve">Independent Board members, number </t>
  </si>
  <si>
    <t>Independent board members, %</t>
  </si>
  <si>
    <t xml:space="preserve">Foreign board members </t>
  </si>
  <si>
    <t xml:space="preserve">Foreign board members, %  </t>
  </si>
  <si>
    <t>Female members</t>
  </si>
  <si>
    <t xml:space="preserve">Female member, % </t>
  </si>
  <si>
    <t xml:space="preserve">Board meetings per year </t>
  </si>
  <si>
    <t xml:space="preserve">Presence, average % </t>
  </si>
  <si>
    <t xml:space="preserve">Average non-exec directors, age </t>
  </si>
  <si>
    <t xml:space="preserve">Chair of Board, age </t>
  </si>
  <si>
    <t xml:space="preserve">Average tenure (non-exec) </t>
  </si>
  <si>
    <t xml:space="preserve">Total Board fees, KSEK </t>
  </si>
  <si>
    <t>Chair fees, KSEK</t>
  </si>
  <si>
    <t>Average member fees, KSEK</t>
  </si>
  <si>
    <t>Total Board costs, KSEK</t>
  </si>
  <si>
    <t>ESG Rating</t>
  </si>
  <si>
    <t xml:space="preserve">MSCI ESG Rating </t>
  </si>
  <si>
    <t>AA</t>
  </si>
  <si>
    <t>ISS ESG Corporate Rating</t>
  </si>
  <si>
    <t>C+ (Prime)</t>
  </si>
  <si>
    <t>ISS QualityScore (G/E/S)</t>
  </si>
  <si>
    <t>3/2/1</t>
  </si>
  <si>
    <t>6/2/1</t>
  </si>
  <si>
    <t>Sustainalytics ESG Risk Rating</t>
  </si>
  <si>
    <t>18.3</t>
  </si>
  <si>
    <t xml:space="preserve">CDP Climate Change </t>
  </si>
  <si>
    <t>A-</t>
  </si>
  <si>
    <t>C</t>
  </si>
  <si>
    <t xml:space="preserve"> </t>
  </si>
  <si>
    <t>2025 Q1</t>
  </si>
  <si>
    <t>0.76</t>
  </si>
  <si>
    <t>39.5%</t>
  </si>
  <si>
    <t>19.9%</t>
  </si>
  <si>
    <t>18.5%</t>
  </si>
  <si>
    <t>-23.8%</t>
  </si>
  <si>
    <t>23.3%</t>
  </si>
  <si>
    <t>12.1%</t>
  </si>
  <si>
    <t>Divestment of subsidiaries and associated companies</t>
  </si>
  <si>
    <t>Divestment/ Repurchase of own shares</t>
  </si>
  <si>
    <t>21.6%</t>
  </si>
  <si>
    <t xml:space="preserve">Radlink </t>
  </si>
  <si>
    <t>Q225-Q425</t>
  </si>
  <si>
    <t>Fleet of underground truck and rigs</t>
  </si>
  <si>
    <t>Zink and silver</t>
  </si>
  <si>
    <t>Fleet of mine trucks as well as rigs for face drilling and production drilling</t>
  </si>
  <si>
    <t>https://www.epirocgroup.com/en/media/corporate-press-releases/2025/20250415-epiroc-wins-large-mining-equipment-order-in-india</t>
  </si>
  <si>
    <t>Back to normal leadtimes</t>
  </si>
  <si>
    <t xml:space="preserve">6-9 months </t>
  </si>
  <si>
    <t xml:space="preserve">100% (prev. 53%). </t>
  </si>
  <si>
    <t xml:space="preserve">100% (prev. 44%) </t>
  </si>
  <si>
    <t>Sum announced as press release in quarter</t>
  </si>
  <si>
    <t>Q225</t>
  </si>
  <si>
    <t>2025 Q2</t>
  </si>
  <si>
    <t>3.80</t>
  </si>
  <si>
    <t>Basic number of shares outstanding, millions*</t>
  </si>
  <si>
    <t>Equity per share, period end, SEK*</t>
  </si>
  <si>
    <t>Basic earnings per share, SEK*</t>
  </si>
  <si>
    <t>Stanley Infrastructure</t>
  </si>
  <si>
    <t>https://www.epirocgroup.com/en/media/corporate-press-releases/2025/20250708-epiroc-wins-large-order-in-chile-for-mine-trucks-and-digital-solutions</t>
  </si>
  <si>
    <t>Significant fleet of underground mine trucks, as well as digital solutions</t>
  </si>
  <si>
    <t>Sociedad Punta del Cobre SA (Pucobre) </t>
  </si>
  <si>
    <t xml:space="preserve">MT65 S where "S" stands for "smart" and indicates automation ready </t>
  </si>
  <si>
    <t xml:space="preserve">Total order contract BSEK 2.2 over five years </t>
  </si>
  <si>
    <t>Fortescue </t>
  </si>
  <si>
    <t xml:space="preserve">YES </t>
  </si>
  <si>
    <t>https://www.epirocgroup.com/en/media/corporate-press-releases/2025/20250416-epiroc-wins-its-largest-contract-ever--for-autonomous-and-electric-powered-mining-equipment</t>
  </si>
  <si>
    <t>largest contract ever, for autonomous and electric-powered mining equipment</t>
  </si>
  <si>
    <t>Q2 2025 - July 18, 2025</t>
  </si>
  <si>
    <t>Through 2025-07-18</t>
  </si>
  <si>
    <t xml:space="preserve">The customer activity within mining was high and the large mining equipment orders, which are lumpy in nature, amounted to MSEK 500 (950).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</si>
</sst>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5" formatCode="#,##0\ &quot;kr&quot;;\-#,##0\ &quot;kr&quot;"/>
    <numFmt numFmtId="41" formatCode="_-* #,##0_-;\-* #,##0_-;_-* &quot;-&quot;_-;_-@_-"/>
    <numFmt numFmtId="44" formatCode="_-* #,##0.00\ &quot;kr&quot;_-;\-* #,##0.00\ &quot;kr&quot;_-;_-* &quot;-&quot;??\ &quot;kr&quot;_-;_-@_-"/>
    <numFmt numFmtId="43" formatCode="_-* #,##0.00_-;\-* #,##0.00_-;_-* &quot;-&quot;??_-;_-@_-"/>
    <numFmt numFmtId="164" formatCode="_ * #,##0_ ;_ * \-#,##0_ ;_ * &quot;-&quot;_ ;_ @_ "/>
    <numFmt numFmtId="165" formatCode="_ * #,##0.00_ ;_ * \-#,##0.00_ ;_ * &quot;-&quot;??_ ;_ @_ "/>
    <numFmt numFmtId="166" formatCode="_-* #,##0\ _k_r_-;\-* #,##0\ _k_r_-;_-* &quot;-&quot;\ _k_r_-;_-@_-"/>
    <numFmt numFmtId="167" formatCode="_-* #,##0.00\ _k_r_-;\-* #,##0.00\ _k_r_-;_-* &quot;-&quot;??\ _k_r_-;_-@_-"/>
    <numFmt numFmtId="168" formatCode="_-&quot;£&quot;* #,##0_-;\-&quot;£&quot;* #,##0_-;_-&quot;£&quot;* &quot;-&quot;_-;_-@_-"/>
    <numFmt numFmtId="169" formatCode="_-&quot;£&quot;* #,##0.00_-;\-&quot;£&quot;* #,##0.00_-;_-&quot;£&quot;* &quot;-&quot;??_-;_-@_-"/>
    <numFmt numFmtId="170" formatCode="0.0%"/>
    <numFmt numFmtId="171" formatCode="\+#,##0;\-#,##0"/>
    <numFmt numFmtId="172" formatCode="#,##0.0"/>
    <numFmt numFmtId="173" formatCode="0.0"/>
    <numFmt numFmtId="174" formatCode="_-* #,##0\ _k_r_-;\-* #,##0\ _k_r_-;_-* &quot;-&quot;??\ _k_r_-;_-@_-"/>
    <numFmt numFmtId="175" formatCode="yy/mm"/>
    <numFmt numFmtId="176" formatCode="&quot;SFr.&quot;#,##0.00;&quot;SFr.&quot;\-#,##0.00"/>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_ ;\-#,##0\ "/>
    <numFmt numFmtId="191" formatCode="\+#,##0.0;\-#,##0.0"/>
    <numFmt numFmtId="192" formatCode="#,##0.0_ ;\-#,##0.0\ "/>
    <numFmt numFmtId="193" formatCode="#,##0.00_ ;\-#,##0.00\ "/>
    <numFmt numFmtId="194" formatCode="#,##0%_j;\-#,##0%_j;;@_j"/>
    <numFmt numFmtId="195" formatCode="#,##0.0_j;\-#,##0.0_j;_j;@_j"/>
    <numFmt numFmtId="196" formatCode="#,##0.00_j;\-#,##0.00_j;_j;@_j"/>
    <numFmt numFmtId="197" formatCode="#,##0_j;\-#,##0_j;\-_j;@_j"/>
    <numFmt numFmtId="198" formatCode="#,##0.000000\ _k_r"/>
    <numFmt numFmtId="199" formatCode="_-* #,##0.00\ _€_-;\-* #,##0.00\ _€_-;_-* &quot;-&quot;??\ _€_-;_-@_-"/>
    <numFmt numFmtId="200" formatCode="_-* #,##0.00_ _k_r_-;\-* #,##0.00_ _k_r_-;_-* &quot;-&quot;??_ _k_r_-;_-@_-"/>
    <numFmt numFmtId="201" formatCode="mmmm\ d\,\ yyyy"/>
    <numFmt numFmtId="202" formatCode="#,##0.00\ [$€];[Red]\-#,##0.00\ [$€]"/>
    <numFmt numFmtId="203" formatCode="#,##0%"/>
    <numFmt numFmtId="204" formatCode="#,##0.0%"/>
    <numFmt numFmtId="205" formatCode="mmmmyy"/>
    <numFmt numFmtId="206" formatCode="0.0_)"/>
    <numFmt numFmtId="207" formatCode="0.000000000000000%"/>
    <numFmt numFmtId="208" formatCode="_-* #,##0.0\ _k_r_-;\-* #,##0.0\ _k_r_-;_-* &quot;-&quot;??\ _k_r_-;_-@_-"/>
    <numFmt numFmtId="209" formatCode="_-* #,##0.0\ &quot;kr&quot;_-;\-* #,##0.0\ &quot;kr&quot;_-;_-* &quot;-&quot;??\ &quot;kr&quot;_-;_-@_-"/>
    <numFmt numFmtId="210" formatCode="\+0;\-0;0"/>
    <numFmt numFmtId="211" formatCode="#,##0.00_ ;[Red]\-#,##0.00\ "/>
    <numFmt numFmtId="212" formatCode="#,##0;\-#,##0;&quot;-&quot;"/>
    <numFmt numFmtId="213" formatCode="_(* #,##0.00_);_(* \(#,##0.00\);_(* &quot;-&quot;??_);_(@_)"/>
    <numFmt numFmtId="214" formatCode="_(* #,##0_);_(* \(#,##0\);_(* &quot;-&quot;_);_(@_)"/>
    <numFmt numFmtId="215" formatCode="_ * #,##0_ ;_ * \-#,##0_ ;_ * &quot;-&quot;??_ ;_ @_ "/>
    <numFmt numFmtId="216" formatCode="_-* #,##0.00\ _$_-;_-* #,##0.00\ _$\-;_-* &quot;-&quot;??\ _$_-;_-@_-"/>
    <numFmt numFmtId="217" formatCode="_(* #,##0.00_);_(* \(#,##0.00\);_(* &quot;0&quot;??_);_(@_)"/>
    <numFmt numFmtId="218" formatCode="_(&quot;$&quot;* #,##0_);_(&quot;$&quot;* \(#,##0\);_(&quot;$&quot;* &quot;-&quot;_);_(@_)"/>
    <numFmt numFmtId="219" formatCode="_(&quot;€&quot;* #,##0_);_(&quot;€&quot;* \(#,##0\);_(&quot;€&quot;* &quot;-&quot;_);_(@_)"/>
    <numFmt numFmtId="220" formatCode="_(&quot;$&quot;* #,##0.00_);_(&quot;$&quot;* \(#,##0.00\);_(&quot;$&quot;* &quot;-&quot;??_);_(@_)"/>
    <numFmt numFmtId="221" formatCode="_(&quot;€&quot;* #,##0.00_);_(&quot;€&quot;* \(#,##0.00\);_(&quot;€&quot;* &quot;-&quot;??_);_(@_)"/>
    <numFmt numFmtId="222" formatCode="&quot;$&quot;#,##0\ ;\(&quot;$&quot;#,##0\)"/>
    <numFmt numFmtId="223" formatCode="_-* #,##0.00\ &quot;€&quot;_-;\-* #,##0.00\ &quot;€&quot;_-;_-* &quot;-&quot;??\ &quot;€&quot;_-;_-@_-"/>
    <numFmt numFmtId="224" formatCode="_-* #,##0_-;_-* #,##0\-;_-* &quot;-&quot;_-;_-@_-"/>
    <numFmt numFmtId="225" formatCode="0.00000000000000%"/>
  </numFmts>
  <fonts count="195">
    <font>
      <sz val="11"/>
      <color theme="1"/>
      <name val="Arial"/>
      <family val="2"/>
      <scheme val="minor"/>
    </font>
    <font>
      <sz val="11"/>
      <color theme="1"/>
      <name val="Arial"/>
      <family val="2"/>
      <scheme val="minor"/>
    </font>
    <font>
      <sz val="10"/>
      <name val="Arial"/>
      <family val="2"/>
    </font>
    <font>
      <b/>
      <sz val="10"/>
      <name val="Arial"/>
      <family val="2"/>
    </font>
    <font>
      <sz val="12"/>
      <name val="Arial"/>
      <family val="2"/>
    </font>
    <font>
      <sz val="8"/>
      <name val="Arial"/>
      <family val="2"/>
    </font>
    <font>
      <b/>
      <sz val="11"/>
      <name val="Arial"/>
      <family val="2"/>
    </font>
    <font>
      <b/>
      <sz val="9"/>
      <name val="Arial"/>
      <family val="2"/>
    </font>
    <font>
      <sz val="11"/>
      <color rgb="FF3F3F76"/>
      <name val="Arial"/>
      <family val="2"/>
      <scheme val="minor"/>
    </font>
    <font>
      <b/>
      <sz val="8"/>
      <name val="Arial"/>
      <family val="2"/>
    </font>
    <font>
      <sz val="10"/>
      <name val="Times New Roman"/>
      <family val="1"/>
    </font>
    <font>
      <b/>
      <sz val="11"/>
      <color indexed="10"/>
      <name val="Calibri"/>
      <family val="2"/>
    </font>
    <font>
      <sz val="11"/>
      <color indexed="8"/>
      <name val="Calibri"/>
      <family val="2"/>
    </font>
    <font>
      <sz val="11"/>
      <color indexed="10"/>
      <name val="Calibri"/>
      <family val="2"/>
    </font>
    <font>
      <b/>
      <sz val="11"/>
      <color indexed="9"/>
      <name val="Calibri"/>
      <family val="2"/>
    </font>
    <font>
      <b/>
      <sz val="11"/>
      <color indexed="8"/>
      <name val="Calibri"/>
      <family val="2"/>
    </font>
    <font>
      <b/>
      <sz val="12"/>
      <name val="Arial"/>
      <family val="2"/>
    </font>
    <font>
      <sz val="10"/>
      <color indexed="8"/>
      <name val="Arial"/>
      <family val="2"/>
    </font>
    <font>
      <b/>
      <sz val="10"/>
      <color indexed="8"/>
      <name val="Arial"/>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0"/>
      <color indexed="10"/>
      <name val="Arial"/>
      <family val="2"/>
    </font>
    <font>
      <sz val="12"/>
      <name val="Times New Roman"/>
      <family val="1"/>
    </font>
    <font>
      <b/>
      <sz val="12"/>
      <color indexed="8"/>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1"/>
      <color theme="10"/>
      <name val="Arial"/>
      <family val="2"/>
      <scheme val="minor"/>
    </font>
    <font>
      <sz val="8"/>
      <color theme="1"/>
      <name val="Arial"/>
      <family val="2"/>
      <scheme val="minor"/>
    </font>
    <font>
      <i/>
      <sz val="8"/>
      <name val="Arial"/>
      <family val="2"/>
    </font>
    <font>
      <b/>
      <sz val="8"/>
      <color theme="1"/>
      <name val="Arial"/>
      <family val="2"/>
      <scheme val="minor"/>
    </font>
    <font>
      <b/>
      <i/>
      <sz val="8"/>
      <name val="Arial"/>
      <family val="2"/>
    </font>
    <font>
      <sz val="8"/>
      <name val="Arial"/>
      <family val="2"/>
      <scheme val="minor"/>
    </font>
    <font>
      <sz val="9"/>
      <name val="Arial"/>
      <family val="2"/>
      <scheme val="minor"/>
    </font>
    <font>
      <sz val="9"/>
      <name val="Arial"/>
      <family val="2"/>
    </font>
    <font>
      <b/>
      <sz val="9"/>
      <name val="Arial"/>
      <family val="2"/>
      <scheme val="minor"/>
    </font>
    <font>
      <u/>
      <sz val="9"/>
      <name val="Arial"/>
      <family val="2"/>
      <scheme val="minor"/>
    </font>
    <font>
      <i/>
      <sz val="8"/>
      <name val="Arial"/>
      <family val="2"/>
      <scheme val="minor"/>
    </font>
    <font>
      <b/>
      <sz val="12"/>
      <name val="Arial"/>
      <family val="2"/>
      <scheme val="minor"/>
    </font>
    <font>
      <u/>
      <sz val="8"/>
      <color theme="4"/>
      <name val="Arial"/>
      <family val="2"/>
      <scheme val="minor"/>
    </font>
    <font>
      <b/>
      <sz val="9"/>
      <color theme="1"/>
      <name val="Arial"/>
      <family val="2"/>
    </font>
    <font>
      <b/>
      <sz val="8"/>
      <color theme="1"/>
      <name val="Arial"/>
      <family val="2"/>
    </font>
    <font>
      <sz val="8"/>
      <color theme="1"/>
      <name val="Arial"/>
      <family val="2"/>
    </font>
    <font>
      <i/>
      <sz val="8"/>
      <color theme="1"/>
      <name val="Arial"/>
      <family val="2"/>
    </font>
    <font>
      <b/>
      <sz val="12"/>
      <color theme="1"/>
      <name val="Arial"/>
      <family val="2"/>
      <scheme val="minor"/>
    </font>
    <font>
      <sz val="9"/>
      <color theme="1"/>
      <name val="Arial"/>
      <family val="2"/>
    </font>
    <font>
      <b/>
      <vertAlign val="superscript"/>
      <sz val="8"/>
      <name val="Arial"/>
      <family val="2"/>
    </font>
    <font>
      <vertAlign val="superscript"/>
      <sz val="8"/>
      <name val="Arial"/>
      <family val="2"/>
    </font>
    <font>
      <sz val="11"/>
      <name val="Arial"/>
      <family val="2"/>
      <scheme val="minor"/>
    </font>
    <font>
      <b/>
      <sz val="14"/>
      <name val="Arial"/>
      <family val="2"/>
      <scheme val="minor"/>
    </font>
    <font>
      <sz val="8"/>
      <color rgb="FFFF0000"/>
      <name val="Arial"/>
      <family val="2"/>
    </font>
    <font>
      <i/>
      <sz val="8"/>
      <color rgb="FFFF0000"/>
      <name val="Arial"/>
      <family val="2"/>
    </font>
    <font>
      <b/>
      <sz val="8"/>
      <color rgb="FFFF0000"/>
      <name val="Arial"/>
      <family val="2"/>
    </font>
    <font>
      <sz val="8"/>
      <color rgb="FFFF0000"/>
      <name val="Arial"/>
      <family val="2"/>
      <scheme val="minor"/>
    </font>
    <font>
      <sz val="9"/>
      <color rgb="FFFF0000"/>
      <name val="Arial"/>
      <family val="2"/>
    </font>
    <font>
      <b/>
      <i/>
      <sz val="8"/>
      <color rgb="FFFF0000"/>
      <name val="Arial"/>
      <family val="2"/>
    </font>
    <font>
      <b/>
      <sz val="8"/>
      <name val="Arial"/>
      <family val="2"/>
      <scheme val="minor"/>
    </font>
    <font>
      <u/>
      <sz val="8"/>
      <name val="Arial"/>
      <family val="2"/>
      <scheme val="minor"/>
    </font>
    <font>
      <b/>
      <i/>
      <sz val="8"/>
      <color theme="1"/>
      <name val="Arial"/>
      <family val="2"/>
    </font>
    <font>
      <i/>
      <sz val="8"/>
      <color theme="1"/>
      <name val="Arial"/>
      <family val="2"/>
      <scheme val="minor"/>
    </font>
    <font>
      <b/>
      <sz val="8"/>
      <color rgb="FF000000"/>
      <name val="Arial"/>
      <family val="2"/>
      <scheme val="minor"/>
    </font>
    <font>
      <sz val="8"/>
      <color rgb="FF000000"/>
      <name val="Arial"/>
      <family val="2"/>
      <scheme val="minor"/>
    </font>
    <font>
      <sz val="8"/>
      <color theme="9" tint="-0.249977111117893"/>
      <name val="Arial"/>
      <family val="2"/>
      <scheme val="minor"/>
    </font>
    <font>
      <sz val="11"/>
      <color indexed="63"/>
      <name val="Arial"/>
      <family val="2"/>
    </font>
    <font>
      <sz val="11"/>
      <color indexed="63"/>
      <name val="Calibri"/>
      <family val="2"/>
    </font>
    <font>
      <sz val="10"/>
      <color indexed="9"/>
      <name val="Arial"/>
      <family val="2"/>
    </font>
    <font>
      <sz val="10"/>
      <color indexed="20"/>
      <name val="Arial"/>
      <family val="2"/>
    </font>
    <font>
      <sz val="11"/>
      <color indexed="16"/>
      <name val="Calibri"/>
      <family val="2"/>
    </font>
    <font>
      <b/>
      <sz val="10"/>
      <color indexed="52"/>
      <name val="Arial"/>
      <family val="2"/>
    </font>
    <font>
      <b/>
      <sz val="11"/>
      <color indexed="53"/>
      <name val="Calibri"/>
      <family val="2"/>
    </font>
    <font>
      <b/>
      <sz val="10"/>
      <color indexed="9"/>
      <name val="Arial"/>
      <family val="2"/>
    </font>
    <font>
      <sz val="10"/>
      <color indexed="12"/>
      <name val="Arial"/>
      <family val="2"/>
    </font>
    <font>
      <sz val="11"/>
      <color indexed="12"/>
      <name val="Calibri"/>
      <family val="2"/>
    </font>
    <font>
      <sz val="10"/>
      <color indexed="63"/>
      <name val="Arial"/>
      <family val="2"/>
    </font>
    <font>
      <sz val="10"/>
      <name val="Verdana"/>
      <family val="2"/>
    </font>
    <font>
      <i/>
      <sz val="10"/>
      <color indexed="23"/>
      <name val="Arial"/>
      <family val="2"/>
    </font>
    <font>
      <b/>
      <u/>
      <sz val="16"/>
      <name val="Helv"/>
    </font>
    <font>
      <sz val="10"/>
      <name val="Helv"/>
    </font>
    <font>
      <sz val="10"/>
      <color indexed="17"/>
      <name val="Arial"/>
      <family val="2"/>
    </font>
    <font>
      <b/>
      <sz val="15"/>
      <color indexed="56"/>
      <name val="Arial"/>
      <family val="2"/>
    </font>
    <font>
      <b/>
      <sz val="13"/>
      <color indexed="56"/>
      <name val="Arial"/>
      <family val="2"/>
    </font>
    <font>
      <b/>
      <sz val="11"/>
      <color indexed="56"/>
      <name val="Arial"/>
      <family val="2"/>
    </font>
    <font>
      <b/>
      <sz val="14"/>
      <name val="Times New Roman"/>
      <family val="1"/>
    </font>
    <font>
      <u/>
      <sz val="10"/>
      <color indexed="23"/>
      <name val="Arial"/>
      <family val="2"/>
    </font>
    <font>
      <sz val="11"/>
      <color indexed="62"/>
      <name val="Arial"/>
      <family val="2"/>
    </font>
    <font>
      <sz val="10"/>
      <color indexed="62"/>
      <name val="Arial"/>
      <family val="2"/>
    </font>
    <font>
      <sz val="11"/>
      <color indexed="48"/>
      <name val="Calibri"/>
      <family val="2"/>
    </font>
    <font>
      <sz val="12"/>
      <color indexed="10"/>
      <name val="Times New Roman"/>
      <family val="1"/>
    </font>
    <font>
      <sz val="10"/>
      <color indexed="52"/>
      <name val="Arial"/>
      <family val="2"/>
    </font>
    <font>
      <sz val="11"/>
      <color indexed="53"/>
      <name val="Calibri"/>
      <family val="2"/>
    </font>
    <font>
      <sz val="10"/>
      <color indexed="60"/>
      <name val="Arial"/>
      <family val="2"/>
    </font>
    <font>
      <u/>
      <sz val="8"/>
      <name val="Arial"/>
      <family val="2"/>
    </font>
    <font>
      <i/>
      <sz val="7"/>
      <name val="Arial"/>
      <family val="2"/>
    </font>
    <font>
      <u/>
      <sz val="9"/>
      <color theme="10"/>
      <name val="Arial"/>
      <family val="2"/>
      <scheme val="minor"/>
    </font>
    <font>
      <sz val="9"/>
      <color theme="1"/>
      <name val="Arial"/>
      <family val="2"/>
      <scheme val="minor"/>
    </font>
    <font>
      <vertAlign val="superscript"/>
      <sz val="9"/>
      <color theme="1"/>
      <name val="Arial"/>
      <family val="2"/>
      <scheme val="minor"/>
    </font>
    <font>
      <i/>
      <sz val="9"/>
      <name val="Arial"/>
      <family val="2"/>
      <scheme val="minor"/>
    </font>
    <font>
      <b/>
      <i/>
      <sz val="8"/>
      <color theme="0" tint="-0.499984740745262"/>
      <name val="Arial"/>
      <family val="2"/>
    </font>
    <font>
      <i/>
      <sz val="8"/>
      <color theme="0" tint="-0.499984740745262"/>
      <name val="Arial"/>
      <family val="2"/>
    </font>
    <font>
      <sz val="8"/>
      <name val="Arial Narrow"/>
      <family val="2"/>
    </font>
    <font>
      <sz val="8"/>
      <color theme="9"/>
      <name val="Arial"/>
      <family val="2"/>
    </font>
    <font>
      <sz val="8"/>
      <color theme="9"/>
      <name val="Arial"/>
      <family val="2"/>
      <scheme val="minor"/>
    </font>
    <font>
      <i/>
      <sz val="8"/>
      <color theme="0" tint="-0.499984740745262"/>
      <name val="Arial"/>
      <family val="2"/>
      <scheme val="minor"/>
    </font>
    <font>
      <i/>
      <sz val="8"/>
      <color rgb="FF00B050"/>
      <name val="Arial"/>
      <family val="2"/>
      <scheme val="minor"/>
    </font>
    <font>
      <b/>
      <sz val="8"/>
      <color rgb="FF00B050"/>
      <name val="Arial"/>
      <family val="2"/>
      <scheme val="minor"/>
    </font>
    <font>
      <sz val="8"/>
      <color rgb="FF00B050"/>
      <name val="Arial"/>
      <family val="2"/>
      <scheme val="minor"/>
    </font>
    <font>
      <b/>
      <sz val="8"/>
      <color theme="0" tint="-0.499984740745262"/>
      <name val="Arial"/>
      <family val="2"/>
      <scheme val="minor"/>
    </font>
    <font>
      <sz val="8"/>
      <color theme="0" tint="-0.499984740745262"/>
      <name val="Arial"/>
      <family val="2"/>
      <scheme val="minor"/>
    </font>
    <font>
      <b/>
      <sz val="8"/>
      <color rgb="FF0D0D0D"/>
      <name val="Arial"/>
      <family val="2"/>
    </font>
    <font>
      <sz val="8"/>
      <color rgb="FF0D0D0D"/>
      <name val="Arial"/>
      <family val="2"/>
    </font>
    <font>
      <sz val="8"/>
      <color rgb="FF000000"/>
      <name val="Arial"/>
      <family val="2"/>
    </font>
    <font>
      <sz val="8"/>
      <color rgb="FF0070C0"/>
      <name val="Arial"/>
      <family val="2"/>
      <scheme val="minor"/>
    </font>
    <font>
      <i/>
      <sz val="8"/>
      <color rgb="FF0070C0"/>
      <name val="Arial"/>
      <family val="2"/>
      <scheme val="minor"/>
    </font>
    <font>
      <b/>
      <sz val="8"/>
      <color rgb="FF0070C0"/>
      <name val="Arial"/>
      <family val="2"/>
      <scheme val="minor"/>
    </font>
    <font>
      <sz val="8"/>
      <color rgb="FF0070C0"/>
      <name val="Arial"/>
      <family val="2"/>
    </font>
    <font>
      <b/>
      <sz val="8"/>
      <color rgb="FF0070C0"/>
      <name val="Arial"/>
      <family val="2"/>
    </font>
    <font>
      <i/>
      <sz val="8"/>
      <color rgb="FF0070C0"/>
      <name val="Arial"/>
      <family val="2"/>
    </font>
    <font>
      <u/>
      <sz val="9"/>
      <color theme="0" tint="-0.499984740745262"/>
      <name val="Arial"/>
      <family val="2"/>
      <scheme val="minor"/>
    </font>
    <font>
      <u/>
      <sz val="8"/>
      <color theme="1"/>
      <name val="Arial"/>
      <family val="2"/>
    </font>
    <font>
      <b/>
      <sz val="8"/>
      <color theme="0" tint="-0.499984740745262"/>
      <name val="Arial"/>
      <family val="2"/>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sz val="11"/>
      <color indexed="8"/>
      <name val="宋体"/>
      <charset val="134"/>
    </font>
    <font>
      <sz val="12"/>
      <name val="宋体"/>
      <charset val="134"/>
    </font>
    <font>
      <sz val="10"/>
      <color indexed="24"/>
      <name val="Arial"/>
      <family val="2"/>
    </font>
    <font>
      <u/>
      <sz val="10"/>
      <color indexed="12"/>
      <name val="Arial"/>
      <family val="2"/>
    </font>
    <font>
      <sz val="10"/>
      <name val="Calibri"/>
      <family val="2"/>
    </font>
    <font>
      <sz val="10"/>
      <name val="宋体"/>
      <charset val="134"/>
    </font>
    <font>
      <b/>
      <sz val="18"/>
      <color indexed="24"/>
      <name val="Arial"/>
      <family val="2"/>
    </font>
    <font>
      <b/>
      <sz val="12"/>
      <color indexed="24"/>
      <name val="Arial"/>
      <family val="2"/>
    </font>
    <font>
      <sz val="9"/>
      <color theme="0" tint="-0.499984740745262"/>
      <name val="Arial"/>
      <family val="2"/>
    </font>
    <font>
      <sz val="8"/>
      <color theme="0" tint="-0.499984740745262"/>
      <name val="Arial"/>
      <family val="2"/>
    </font>
    <font>
      <sz val="11"/>
      <color theme="0" tint="-0.499984740745262"/>
      <name val="Arial"/>
      <family val="2"/>
      <scheme val="minor"/>
    </font>
    <font>
      <b/>
      <sz val="9"/>
      <color theme="1"/>
      <name val="Arial"/>
      <family val="2"/>
      <scheme val="minor"/>
    </font>
    <font>
      <b/>
      <sz val="8"/>
      <color indexed="81"/>
      <name val="Tahoma"/>
      <family val="2"/>
    </font>
    <font>
      <sz val="8"/>
      <color indexed="81"/>
      <name val="Tahoma"/>
      <family val="2"/>
    </font>
    <font>
      <sz val="10"/>
      <name val="Arial"/>
      <family val="2"/>
    </font>
    <font>
      <sz val="9"/>
      <color theme="0" tint="-0.499984740745262"/>
      <name val="Arial"/>
      <family val="2"/>
      <scheme val="minor"/>
    </font>
    <font>
      <b/>
      <i/>
      <sz val="8"/>
      <color theme="3"/>
      <name val="Arial"/>
      <family val="2"/>
    </font>
    <font>
      <i/>
      <sz val="8"/>
      <color theme="3"/>
      <name val="Arial"/>
      <family val="2"/>
    </font>
    <font>
      <i/>
      <sz val="8"/>
      <color theme="0"/>
      <name val="Arial"/>
      <family val="2"/>
    </font>
    <font>
      <sz val="8"/>
      <color theme="0"/>
      <name val="Arial"/>
      <family val="2"/>
    </font>
    <font>
      <b/>
      <sz val="8"/>
      <color theme="0"/>
      <name val="Arial"/>
      <family val="2"/>
    </font>
  </fonts>
  <fills count="97">
    <fill>
      <patternFill patternType="none"/>
    </fill>
    <fill>
      <patternFill patternType="gray125"/>
    </fill>
    <fill>
      <patternFill patternType="solid">
        <fgColor theme="0"/>
        <bgColor indexed="64"/>
      </patternFill>
    </fill>
    <fill>
      <patternFill patternType="solid">
        <fgColor rgb="FFF0EBE6"/>
        <bgColor indexed="64"/>
      </patternFill>
    </fill>
    <fill>
      <patternFill patternType="solid">
        <fgColor rgb="FFFFCC9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35"/>
      </patternFill>
    </fill>
    <fill>
      <patternFill patternType="solid">
        <fgColor indexed="26"/>
      </patternFill>
    </fill>
    <fill>
      <patternFill patternType="solid">
        <fgColor indexed="33"/>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2"/>
        <bgColor indexed="64"/>
      </patternFill>
    </fill>
    <fill>
      <gradientFill degree="270">
        <stop position="0">
          <color theme="0"/>
        </stop>
        <stop position="1">
          <color theme="4"/>
        </stop>
      </gradientFill>
    </fill>
    <fill>
      <patternFill patternType="solid">
        <fgColor theme="4" tint="0.79998168889431442"/>
        <bgColor indexed="64"/>
      </patternFill>
    </fill>
    <fill>
      <patternFill patternType="solid">
        <fgColor rgb="FFA5A5A5"/>
      </patternFill>
    </fill>
    <fill>
      <patternFill patternType="solid">
        <fgColor theme="0"/>
        <bgColor auto="1"/>
      </patternFill>
    </fill>
    <fill>
      <patternFill patternType="solid">
        <fgColor theme="8"/>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62"/>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theme="5" tint="0.79998168889431442"/>
        <bgColor indexed="64"/>
      </patternFill>
    </fill>
    <fill>
      <patternFill patternType="solid">
        <fgColor rgb="FF0099CC"/>
        <bgColor indexed="64"/>
      </patternFill>
    </fill>
    <fill>
      <patternFill patternType="solid">
        <fgColor theme="5" tint="0.59999389629810485"/>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FFC000"/>
      </bottom>
      <diagonal/>
    </border>
    <border>
      <left style="thin">
        <color rgb="FF7F7F7F"/>
      </left>
      <right style="thin">
        <color rgb="FF7F7F7F"/>
      </right>
      <top style="thin">
        <color rgb="FF7F7F7F"/>
      </top>
      <bottom style="thin">
        <color rgb="FF7F7F7F"/>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right/>
      <top/>
      <bottom style="dotted">
        <color indexed="64"/>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top/>
      <bottom style="thin">
        <color theme="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right style="thin">
        <color indexed="64"/>
      </right>
      <top/>
      <bottom style="thin">
        <color theme="4"/>
      </bottom>
      <diagonal/>
    </border>
    <border>
      <left style="thin">
        <color rgb="FFF0EBE6"/>
      </left>
      <right style="thin">
        <color indexed="64"/>
      </right>
      <top/>
      <bottom/>
      <diagonal/>
    </border>
    <border>
      <left/>
      <right/>
      <top/>
      <bottom style="medium">
        <color rgb="FFFFCD00"/>
      </bottom>
      <diagonal/>
    </border>
    <border>
      <left/>
      <right style="thin">
        <color indexed="64"/>
      </right>
      <top/>
      <bottom style="medium">
        <color rgb="FFFFCD00"/>
      </bottom>
      <diagonal/>
    </border>
    <border>
      <left/>
      <right style="thin">
        <color indexed="64"/>
      </right>
      <top style="thin">
        <color theme="4"/>
      </top>
      <bottom/>
      <diagonal/>
    </border>
    <border>
      <left/>
      <right/>
      <top/>
      <bottom style="thick">
        <color indexed="49"/>
      </bottom>
      <diagonal/>
    </border>
    <border>
      <left/>
      <right/>
      <top/>
      <bottom style="thick">
        <color indexed="48"/>
      </bottom>
      <diagonal/>
    </border>
    <border>
      <left/>
      <right/>
      <top/>
      <bottom style="medium">
        <color indexed="49"/>
      </bottom>
      <diagonal/>
    </border>
    <border>
      <left/>
      <right/>
      <top/>
      <bottom style="medium">
        <color indexed="2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bottom style="double">
        <color indexed="53"/>
      </bottom>
      <diagonal/>
    </border>
    <border>
      <left/>
      <right style="thin">
        <color indexed="64"/>
      </right>
      <top/>
      <bottom style="thin">
        <color indexed="64"/>
      </bottom>
      <diagonal/>
    </border>
    <border>
      <left/>
      <right/>
      <top/>
      <bottom style="thin">
        <color theme="7"/>
      </bottom>
      <diagonal/>
    </border>
    <border>
      <left/>
      <right style="thin">
        <color indexed="64"/>
      </right>
      <top/>
      <bottom style="thin">
        <color theme="7"/>
      </bottom>
      <diagonal/>
    </border>
    <border>
      <left style="thin">
        <color indexed="64"/>
      </left>
      <right/>
      <top/>
      <bottom style="thin">
        <color theme="7"/>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dashed">
        <color indexed="64"/>
      </top>
      <bottom style="dashed">
        <color indexed="64"/>
      </bottom>
      <diagonal/>
    </border>
    <border>
      <left/>
      <right/>
      <top style="thin">
        <color indexed="49"/>
      </top>
      <bottom style="double">
        <color indexed="49"/>
      </bottom>
      <diagonal/>
    </border>
    <border>
      <left/>
      <right/>
      <top style="thin">
        <color theme="4"/>
      </top>
      <bottom/>
      <diagonal/>
    </border>
  </borders>
  <cellStyleXfs count="11697">
    <xf numFmtId="0" fontId="0" fillId="0" borderId="0"/>
    <xf numFmtId="9" fontId="1" fillId="0" borderId="0" applyFont="0" applyFill="0" applyBorder="0" applyAlignment="0" applyProtection="0"/>
    <xf numFmtId="167"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2" fillId="0" borderId="0" applyFont="0" applyFill="0" applyBorder="0" applyAlignment="0" applyProtection="0"/>
    <xf numFmtId="0" fontId="43" fillId="0" borderId="0"/>
    <xf numFmtId="0" fontId="33" fillId="0" borderId="0"/>
    <xf numFmtId="0" fontId="43" fillId="0" borderId="0"/>
    <xf numFmtId="0" fontId="43" fillId="0" borderId="0"/>
    <xf numFmtId="0" fontId="61" fillId="0" borderId="0" applyNumberFormat="0" applyFill="0" applyBorder="0" applyAlignment="0" applyProtection="0"/>
    <xf numFmtId="0" fontId="33" fillId="0" borderId="0"/>
    <xf numFmtId="0" fontId="33" fillId="0" borderId="0"/>
    <xf numFmtId="0" fontId="33" fillId="0" borderId="0"/>
    <xf numFmtId="0" fontId="33" fillId="0" borderId="0"/>
    <xf numFmtId="0" fontId="43" fillId="0" borderId="0"/>
    <xf numFmtId="0" fontId="33" fillId="0" borderId="0"/>
    <xf numFmtId="0" fontId="43" fillId="0" borderId="0"/>
    <xf numFmtId="0" fontId="43" fillId="0" borderId="0"/>
    <xf numFmtId="0" fontId="33" fillId="0" borderId="0"/>
    <xf numFmtId="0" fontId="43" fillId="0" borderId="0"/>
    <xf numFmtId="0" fontId="33" fillId="0" borderId="0"/>
    <xf numFmtId="0" fontId="62" fillId="0" borderId="8" applyNumberFormat="0" applyFill="0" applyProtection="0">
      <alignment horizontal="center"/>
    </xf>
    <xf numFmtId="0" fontId="63" fillId="0" borderId="0" applyNumberFormat="0" applyFill="0" applyBorder="0" applyProtection="0">
      <alignment horizontal="centerContinuous"/>
    </xf>
    <xf numFmtId="0" fontId="33" fillId="0" borderId="0"/>
    <xf numFmtId="0" fontId="33" fillId="0" borderId="0"/>
    <xf numFmtId="0" fontId="33"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9" fillId="2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2" fillId="0" borderId="0"/>
    <xf numFmtId="0" fontId="12" fillId="25" borderId="0" applyNumberFormat="0" applyBorder="0" applyAlignment="0" applyProtection="0"/>
    <xf numFmtId="0" fontId="12" fillId="26" borderId="0" applyNumberFormat="0" applyBorder="0" applyAlignment="0" applyProtection="0"/>
    <xf numFmtId="0" fontId="19" fillId="27"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9" fillId="32"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9" fillId="36"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7"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2" fillId="38" borderId="0" applyNumberFormat="0" applyBorder="0" applyAlignment="0" applyProtection="0"/>
    <xf numFmtId="0" fontId="12" fillId="31" borderId="0" applyNumberFormat="0" applyBorder="0" applyAlignment="0" applyProtection="0"/>
    <xf numFmtId="0" fontId="19" fillId="39"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9" borderId="0" applyNumberFormat="0" applyBorder="0" applyAlignment="0" applyProtection="0"/>
    <xf numFmtId="0" fontId="13"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8" borderId="0" applyNumberFormat="0" applyBorder="0" applyAlignment="0" applyProtection="0"/>
    <xf numFmtId="0" fontId="6" fillId="0" borderId="0" applyNumberFormat="0" applyFill="0" applyBorder="0">
      <alignment horizontal="left"/>
    </xf>
    <xf numFmtId="0" fontId="6" fillId="0" borderId="0" applyNumberFormat="0" applyFill="0" applyBorder="0">
      <alignment horizontal="left"/>
    </xf>
    <xf numFmtId="0" fontId="46" fillId="0" borderId="0" applyNumberFormat="0" applyFill="0" applyBorder="0">
      <alignment horizontal="left"/>
    </xf>
    <xf numFmtId="0" fontId="2" fillId="0" borderId="9"/>
    <xf numFmtId="176" fontId="35" fillId="0" borderId="0" applyFill="0" applyBorder="0" applyAlignment="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 fillId="40" borderId="10" applyNumberFormat="0" applyAlignment="0" applyProtection="0"/>
    <xf numFmtId="0" fontId="28" fillId="0" borderId="11" applyNumberFormat="0" applyFill="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3" fillId="0" borderId="13">
      <alignment horizontal="lef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80" fontId="2" fillId="0" borderId="0" applyFont="0" applyFill="0" applyBorder="0" applyProtection="0"/>
    <xf numFmtId="165" fontId="2" fillId="0" borderId="0" applyFont="0" applyFill="0" applyBorder="0" applyAlignment="0" applyProtection="0">
      <alignment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14" borderId="14" applyNumberFormat="0" applyFont="0" applyAlignment="0" applyProtection="0"/>
    <xf numFmtId="0" fontId="36" fillId="0" borderId="0" applyNumberFormat="0" applyAlignment="0">
      <alignment horizontal="left"/>
    </xf>
    <xf numFmtId="183" fontId="64" fillId="0" borderId="0">
      <alignment horizontal="center"/>
    </xf>
    <xf numFmtId="14" fontId="5" fillId="0" borderId="0" applyFill="0" applyBorder="0">
      <alignment horizontal="left"/>
    </xf>
    <xf numFmtId="14" fontId="5" fillId="0" borderId="0" applyFill="0" applyBorder="0">
      <alignment horizontal="left"/>
    </xf>
    <xf numFmtId="14" fontId="47" fillId="0" borderId="0">
      <alignment horizontal="left"/>
    </xf>
    <xf numFmtId="164" fontId="2" fillId="0" borderId="0" applyFont="0" applyFill="0" applyBorder="0" applyAlignment="0" applyProtection="0"/>
    <xf numFmtId="165" fontId="2" fillId="0" borderId="0" applyFont="0" applyFill="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37" fillId="0" borderId="0" applyNumberFormat="0" applyAlignment="0">
      <alignment horizontal="left"/>
    </xf>
    <xf numFmtId="0" fontId="27" fillId="10" borderId="10"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1" fontId="48" fillId="0" borderId="0">
      <alignment horizontal="left" vertical="top" wrapText="1"/>
    </xf>
    <xf numFmtId="181" fontId="49" fillId="0" borderId="0">
      <alignment horizontal="left"/>
    </xf>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38" fontId="5" fillId="45" borderId="0" applyNumberFormat="0" applyBorder="0" applyAlignment="0" applyProtection="0"/>
    <xf numFmtId="170" fontId="2" fillId="46" borderId="13" applyNumberFormat="0" applyFont="0" applyBorder="0" applyAlignment="0" applyProtection="0"/>
    <xf numFmtId="184" fontId="65" fillId="46" borderId="0" applyNumberFormat="0" applyFont="0" applyAlignment="0"/>
    <xf numFmtId="0" fontId="16" fillId="0" borderId="15" applyNumberFormat="0" applyAlignment="0" applyProtection="0">
      <alignment horizontal="left" vertical="center"/>
    </xf>
    <xf numFmtId="0" fontId="16" fillId="0" borderId="2">
      <alignment horizontal="left" vertical="center"/>
    </xf>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7"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0" fillId="0" borderId="4" applyNumberFormat="0" applyFill="0" applyBorder="0" applyAlignment="0">
      <protection locked="0"/>
    </xf>
    <xf numFmtId="0" fontId="77" fillId="0" borderId="0" applyNumberFormat="0" applyFill="0" applyBorder="0" applyAlignment="0" applyProtection="0"/>
    <xf numFmtId="0" fontId="76" fillId="0" borderId="0" applyNumberFormat="0" applyFill="0" applyBorder="0" applyAlignment="0" applyProtection="0">
      <alignment vertical="top"/>
      <protection locked="0"/>
    </xf>
    <xf numFmtId="0" fontId="8" fillId="4" borderId="7" applyNumberFormat="0" applyAlignment="0" applyProtection="0"/>
    <xf numFmtId="181" fontId="47" fillId="0" borderId="13" applyFill="0" applyBorder="0">
      <protection locked="0"/>
    </xf>
    <xf numFmtId="0" fontId="33" fillId="0" borderId="0" applyNumberFormat="0" applyFill="0" applyBorder="0" applyAlignment="0" applyProtection="0">
      <alignment horizontal="left"/>
    </xf>
    <xf numFmtId="181" fontId="47" fillId="0" borderId="4" applyNumberFormat="0" applyFill="0" applyBorder="0">
      <alignment horizontal="right"/>
      <protection locked="0"/>
    </xf>
    <xf numFmtId="0" fontId="51" fillId="0" borderId="21" applyNumberFormat="0" applyFill="0" applyBorder="0">
      <alignment horizontal="left"/>
      <protection locked="0"/>
    </xf>
    <xf numFmtId="181" fontId="47" fillId="0" borderId="0" applyProtection="0">
      <alignment horizontal="right"/>
    </xf>
    <xf numFmtId="10" fontId="5" fillId="47" borderId="13" applyNumberFormat="0" applyBorder="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9" borderId="10" applyNumberFormat="0" applyAlignment="0" applyProtection="0"/>
    <xf numFmtId="0" fontId="20" fillId="6" borderId="0" applyNumberFormat="0" applyBorder="0" applyAlignment="0" applyProtection="0"/>
    <xf numFmtId="0" fontId="49" fillId="0" borderId="0" applyBorder="0">
      <alignment horizontal="right"/>
      <protection locked="0"/>
    </xf>
    <xf numFmtId="0" fontId="49" fillId="0" borderId="0">
      <alignment horizontal="right"/>
    </xf>
    <xf numFmtId="0" fontId="9" fillId="0" borderId="0" applyNumberFormat="0" applyFill="0" applyBorder="0">
      <alignment horizontal="center"/>
    </xf>
    <xf numFmtId="0" fontId="9" fillId="0" borderId="0" applyNumberFormat="0" applyFill="0" applyBorder="0">
      <alignment horizontal="center"/>
    </xf>
    <xf numFmtId="0" fontId="52" fillId="0" borderId="13" applyNumberFormat="0" applyFill="0" applyBorder="0">
      <alignment horizontal="center"/>
    </xf>
    <xf numFmtId="38" fontId="38" fillId="0" borderId="0" applyFont="0" applyFill="0" applyBorder="0" applyAlignment="0" applyProtection="0"/>
    <xf numFmtId="3" fontId="53" fillId="0" borderId="3" applyFill="0" applyBorder="0" applyAlignment="0">
      <protection locked="0"/>
    </xf>
    <xf numFmtId="0" fontId="5" fillId="0" borderId="0" applyNumberFormat="0" applyFill="0" applyBorder="0">
      <alignment horizontal="left"/>
    </xf>
    <xf numFmtId="0" fontId="5" fillId="0" borderId="0" applyNumberFormat="0" applyFill="0" applyBorder="0">
      <alignment horizontal="left"/>
    </xf>
    <xf numFmtId="0" fontId="54" fillId="0" borderId="13" applyNumberFormat="0" applyFill="0" applyBorder="0">
      <alignment horizontal="left"/>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 fillId="0" borderId="22"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9" fillId="0" borderId="0" applyNumberFormat="0" applyFill="0" applyBorder="0" applyAlignment="0" applyProtection="0"/>
    <xf numFmtId="185" fontId="70" fillId="0" borderId="0" applyFont="0" applyFill="0" applyBorder="0" applyAlignment="0" applyProtection="0"/>
    <xf numFmtId="186" fontId="70" fillId="0" borderId="0" applyFont="0" applyFill="0" applyBorder="0" applyAlignment="0" applyProtection="0"/>
    <xf numFmtId="187" fontId="70" fillId="0" borderId="0" applyFont="0" applyFill="0" applyBorder="0" applyAlignment="0" applyProtection="0"/>
    <xf numFmtId="188" fontId="70" fillId="0" borderId="0" applyFont="0" applyFill="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44" fillId="19" borderId="0" applyNumberFormat="0" applyBorder="0" applyAlignment="0" applyProtection="0"/>
    <xf numFmtId="0" fontId="29" fillId="19" borderId="0" applyNumberFormat="0" applyBorder="0" applyAlignment="0" applyProtection="0"/>
    <xf numFmtId="177" fontId="3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35" fillId="0" borderId="0"/>
    <xf numFmtId="0" fontId="1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35" fillId="0" borderId="0"/>
    <xf numFmtId="0" fontId="2" fillId="0" borderId="0"/>
    <xf numFmtId="0" fontId="4" fillId="0" borderId="0"/>
    <xf numFmtId="0" fontId="2" fillId="0" borderId="0"/>
    <xf numFmtId="0" fontId="2" fillId="0" borderId="0"/>
    <xf numFmtId="0" fontId="1" fillId="0" borderId="0"/>
    <xf numFmtId="0" fontId="4" fillId="0" borderId="0"/>
    <xf numFmtId="181" fontId="47" fillId="45" borderId="0">
      <protection locked="0"/>
    </xf>
    <xf numFmtId="181" fontId="47" fillId="0" borderId="0"/>
    <xf numFmtId="37" fontId="35" fillId="0" borderId="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4" borderId="14" applyNumberFormat="0" applyFont="0" applyAlignment="0" applyProtection="0"/>
    <xf numFmtId="189" fontId="71" fillId="0" borderId="0" applyFont="0" applyFill="0" applyBorder="0" applyProtection="0">
      <alignment horizontal="right"/>
    </xf>
    <xf numFmtId="0" fontId="30" fillId="40" borderId="23" applyNumberFormat="0" applyAlignment="0" applyProtection="0"/>
    <xf numFmtId="0" fontId="30" fillId="40" borderId="23" applyNumberFormat="0" applyAlignment="0" applyProtection="0"/>
    <xf numFmtId="0" fontId="30" fillId="40" borderId="23" applyNumberFormat="0" applyAlignment="0" applyProtection="0"/>
    <xf numFmtId="0" fontId="30" fillId="40" borderId="23" applyNumberFormat="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55" fillId="0" borderId="0" applyNumberFormat="0" applyFill="0" applyBorder="0">
      <alignment horizontal="left"/>
    </xf>
    <xf numFmtId="0" fontId="47" fillId="0" borderId="0" applyNumberFormat="0" applyFill="0" applyBorder="0">
      <alignment horizontal="left"/>
    </xf>
    <xf numFmtId="175" fontId="5" fillId="45" borderId="0" applyNumberFormat="0" applyAlignment="0">
      <alignment horizontal="center"/>
    </xf>
    <xf numFmtId="0" fontId="3" fillId="0" borderId="0" applyNumberFormat="0" applyFill="0" applyBorder="0">
      <alignment horizontal="left"/>
    </xf>
    <xf numFmtId="0" fontId="3" fillId="0" borderId="0" applyNumberFormat="0" applyFill="0" applyBorder="0">
      <alignment horizontal="left"/>
    </xf>
    <xf numFmtId="0" fontId="56" fillId="0" borderId="3" applyNumberFormat="0" applyFill="0" applyBorder="0">
      <alignment horizontal="left"/>
    </xf>
    <xf numFmtId="14" fontId="39" fillId="0" borderId="0" applyNumberFormat="0" applyFill="0" applyBorder="0" applyAlignment="0" applyProtection="0">
      <alignment horizontal="left"/>
    </xf>
    <xf numFmtId="0" fontId="46" fillId="0" borderId="0" applyNumberFormat="0" applyFill="0" applyBorder="0">
      <alignment horizontal="left"/>
    </xf>
    <xf numFmtId="4" fontId="18" fillId="19" borderId="24" applyNumberFormat="0" applyProtection="0">
      <alignment vertical="center"/>
    </xf>
    <xf numFmtId="4" fontId="57" fillId="19" borderId="24" applyNumberFormat="0" applyProtection="0">
      <alignment vertical="center"/>
    </xf>
    <xf numFmtId="4" fontId="18" fillId="19" borderId="24" applyNumberFormat="0" applyProtection="0">
      <alignment horizontal="left" vertical="center" indent="1"/>
    </xf>
    <xf numFmtId="0" fontId="18" fillId="19" borderId="24" applyNumberFormat="0" applyProtection="0">
      <alignment horizontal="left" vertical="top" indent="1"/>
    </xf>
    <xf numFmtId="4" fontId="18" fillId="48" borderId="0" applyNumberFormat="0" applyProtection="0">
      <alignment horizontal="left" vertical="center" indent="1"/>
    </xf>
    <xf numFmtId="4" fontId="17" fillId="6" borderId="24" applyNumberFormat="0" applyProtection="0">
      <alignment horizontal="right" vertical="center"/>
    </xf>
    <xf numFmtId="4" fontId="17" fillId="12" borderId="24" applyNumberFormat="0" applyProtection="0">
      <alignment horizontal="right" vertical="center"/>
    </xf>
    <xf numFmtId="4" fontId="17" fillId="29" borderId="24" applyNumberFormat="0" applyProtection="0">
      <alignment horizontal="right" vertical="center"/>
    </xf>
    <xf numFmtId="4" fontId="17" fillId="17" borderId="24" applyNumberFormat="0" applyProtection="0">
      <alignment horizontal="right" vertical="center"/>
    </xf>
    <xf numFmtId="4" fontId="17" fillId="23" borderId="24" applyNumberFormat="0" applyProtection="0">
      <alignment horizontal="right" vertical="center"/>
    </xf>
    <xf numFmtId="4" fontId="17" fillId="24" borderId="24" applyNumberFormat="0" applyProtection="0">
      <alignment horizontal="right" vertical="center"/>
    </xf>
    <xf numFmtId="4" fontId="17" fillId="33" borderId="24" applyNumberFormat="0" applyProtection="0">
      <alignment horizontal="right" vertical="center"/>
    </xf>
    <xf numFmtId="4" fontId="17" fillId="49" borderId="24" applyNumberFormat="0" applyProtection="0">
      <alignment horizontal="right" vertical="center"/>
    </xf>
    <xf numFmtId="4" fontId="17" fillId="16" borderId="24" applyNumberFormat="0" applyProtection="0">
      <alignment horizontal="right" vertical="center"/>
    </xf>
    <xf numFmtId="4" fontId="18" fillId="50" borderId="25" applyNumberFormat="0" applyProtection="0">
      <alignment horizontal="left" vertical="center" indent="1"/>
    </xf>
    <xf numFmtId="4" fontId="17" fillId="51" borderId="0" applyNumberFormat="0" applyProtection="0">
      <alignment horizontal="left" vertical="center" indent="1"/>
    </xf>
    <xf numFmtId="4" fontId="34" fillId="37" borderId="0" applyNumberFormat="0" applyProtection="0">
      <alignment horizontal="left" vertical="center" indent="1"/>
    </xf>
    <xf numFmtId="4" fontId="17" fillId="48" borderId="24" applyNumberFormat="0" applyProtection="0">
      <alignment horizontal="right" vertical="center"/>
    </xf>
    <xf numFmtId="4" fontId="17" fillId="51" borderId="0" applyNumberFormat="0" applyProtection="0">
      <alignment horizontal="left" vertical="center" indent="1"/>
    </xf>
    <xf numFmtId="4" fontId="17" fillId="48" borderId="0" applyNumberFormat="0" applyProtection="0">
      <alignment horizontal="left" vertical="center" indent="1"/>
    </xf>
    <xf numFmtId="0" fontId="2" fillId="37" borderId="24" applyNumberFormat="0" applyProtection="0">
      <alignment horizontal="left" vertical="center" indent="1"/>
    </xf>
    <xf numFmtId="0" fontId="2" fillId="37" borderId="24" applyNumberFormat="0" applyProtection="0">
      <alignment horizontal="left" vertical="top" indent="1"/>
    </xf>
    <xf numFmtId="0" fontId="2" fillId="48" borderId="24" applyNumberFormat="0" applyProtection="0">
      <alignment horizontal="left" vertical="center" indent="1"/>
    </xf>
    <xf numFmtId="0" fontId="2" fillId="48" borderId="24" applyNumberFormat="0" applyProtection="0">
      <alignment horizontal="left" vertical="top" indent="1"/>
    </xf>
    <xf numFmtId="0" fontId="2" fillId="11" borderId="24" applyNumberFormat="0" applyProtection="0">
      <alignment horizontal="left" vertical="center" indent="1"/>
    </xf>
    <xf numFmtId="0" fontId="2" fillId="11" borderId="24" applyNumberFormat="0" applyProtection="0">
      <alignment horizontal="left" vertical="top" indent="1"/>
    </xf>
    <xf numFmtId="0" fontId="2" fillId="51" borderId="24" applyNumberFormat="0" applyProtection="0">
      <alignment horizontal="left" vertical="center" indent="1"/>
    </xf>
    <xf numFmtId="0" fontId="2" fillId="51" borderId="24" applyNumberFormat="0" applyProtection="0">
      <alignment horizontal="left" vertical="top" indent="1"/>
    </xf>
    <xf numFmtId="0" fontId="2" fillId="40" borderId="13" applyNumberFormat="0">
      <protection locked="0"/>
    </xf>
    <xf numFmtId="4" fontId="17" fillId="14" borderId="24" applyNumberFormat="0" applyProtection="0">
      <alignment vertical="center"/>
    </xf>
    <xf numFmtId="4" fontId="58" fillId="14" borderId="24" applyNumberFormat="0" applyProtection="0">
      <alignment vertical="center"/>
    </xf>
    <xf numFmtId="4" fontId="17" fillId="14" borderId="24" applyNumberFormat="0" applyProtection="0">
      <alignment horizontal="left" vertical="center" indent="1"/>
    </xf>
    <xf numFmtId="0" fontId="17" fillId="14" borderId="24" applyNumberFormat="0" applyProtection="0">
      <alignment horizontal="left" vertical="top" indent="1"/>
    </xf>
    <xf numFmtId="4" fontId="17" fillId="51" borderId="24" applyNumberFormat="0" applyProtection="0">
      <alignment horizontal="right" vertical="center"/>
    </xf>
    <xf numFmtId="4" fontId="58" fillId="51" borderId="24" applyNumberFormat="0" applyProtection="0">
      <alignment horizontal="right" vertical="center"/>
    </xf>
    <xf numFmtId="4" fontId="17" fillId="48" borderId="24" applyNumberFormat="0" applyProtection="0">
      <alignment horizontal="left" vertical="center" indent="1"/>
    </xf>
    <xf numFmtId="0" fontId="17" fillId="48" borderId="24" applyNumberFormat="0" applyProtection="0">
      <alignment horizontal="left" vertical="top" indent="1"/>
    </xf>
    <xf numFmtId="4" fontId="59" fillId="52" borderId="0" applyNumberFormat="0" applyProtection="0">
      <alignment horizontal="left" vertical="center" indent="1"/>
    </xf>
    <xf numFmtId="4" fontId="32" fillId="51" borderId="24" applyNumberFormat="0" applyProtection="0">
      <alignment horizontal="right" vertical="center"/>
    </xf>
    <xf numFmtId="0" fontId="23" fillId="7" borderId="0" applyNumberFormat="0" applyBorder="0" applyAlignment="0" applyProtection="0"/>
    <xf numFmtId="0" fontId="31" fillId="0" borderId="0" applyNumberFormat="0" applyFill="0" applyBorder="0" applyAlignment="0" applyProtection="0"/>
    <xf numFmtId="0" fontId="30" fillId="18" borderId="23" applyNumberFormat="0" applyAlignment="0" applyProtection="0"/>
    <xf numFmtId="0" fontId="43" fillId="0" borderId="0"/>
    <xf numFmtId="40" fontId="40" fillId="0" borderId="0" applyBorder="0">
      <alignment horizontal="right"/>
    </xf>
    <xf numFmtId="0" fontId="7" fillId="0" borderId="0" applyNumberFormat="0" applyFill="0" applyBorder="0">
      <alignment horizontal="left"/>
    </xf>
    <xf numFmtId="181" fontId="47" fillId="0" borderId="26" applyFill="0" applyBorder="0"/>
    <xf numFmtId="0" fontId="7" fillId="0" borderId="0" applyNumberFormat="0" applyFill="0" applyBorder="0">
      <alignment horizontal="left"/>
    </xf>
    <xf numFmtId="0" fontId="60" fillId="0" borderId="1" applyNumberFormat="0" applyFill="0" applyBorder="0">
      <alignment horizontal="left"/>
    </xf>
    <xf numFmtId="3" fontId="47" fillId="0" borderId="27"/>
    <xf numFmtId="0" fontId="33" fillId="0" borderId="0" applyNumberFormat="0" applyFill="0" applyBorder="0" applyAlignment="0">
      <alignment horizontal="left"/>
    </xf>
    <xf numFmtId="0" fontId="33" fillId="0" borderId="0" applyNumberFormat="0" applyFill="0" applyBorder="0" applyAlignment="0">
      <alignment horizontal="left"/>
    </xf>
    <xf numFmtId="181" fontId="47" fillId="0" borderId="5" applyNumberFormat="0" applyFill="0" applyBorder="0">
      <alignment horizontal="right"/>
    </xf>
    <xf numFmtId="0" fontId="2" fillId="0" borderId="0" applyNumberFormat="0" applyFill="0" applyBorder="0">
      <alignment horizontal="left"/>
    </xf>
    <xf numFmtId="181" fontId="47" fillId="0" borderId="0">
      <alignment horizontal="righ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51" fillId="0" borderId="0" applyNumberFormat="0" applyFill="0" applyBorder="0">
      <alignment horizontal="left"/>
    </xf>
    <xf numFmtId="0" fontId="2" fillId="0" borderId="0" applyNumberFormat="0" applyFill="0" applyBorder="0">
      <alignment horizontal="left"/>
    </xf>
    <xf numFmtId="0" fontId="51" fillId="0" borderId="0" applyNumberFormat="0" applyFill="0" applyBorder="0">
      <alignment horizontal="left"/>
    </xf>
    <xf numFmtId="0" fontId="2" fillId="0" borderId="0" applyNumberFormat="0" applyFill="0" applyBorder="0">
      <alignment horizontal="left"/>
    </xf>
    <xf numFmtId="0" fontId="22" fillId="0" borderId="0" applyNumberFormat="0" applyFill="0" applyBorder="0" applyAlignment="0" applyProtection="0"/>
    <xf numFmtId="0" fontId="7" fillId="0" borderId="0" applyNumberFormat="0" applyFill="0" applyBorder="0">
      <alignment horizontal="left"/>
    </xf>
    <xf numFmtId="0" fontId="7" fillId="0" borderId="0" applyNumberFormat="0" applyFill="0" applyBorder="0">
      <alignment horizontal="left"/>
    </xf>
    <xf numFmtId="0" fontId="52" fillId="0" borderId="0" applyNumberFormat="0" applyFill="0" applyBorder="0">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2" fillId="0" borderId="0" applyNumberFormat="0" applyFill="0" applyBorder="0" applyAlignment="0" applyProtection="0"/>
    <xf numFmtId="0" fontId="73" fillId="0" borderId="28" applyNumberFormat="0" applyFill="0" applyAlignment="0" applyProtection="0"/>
    <xf numFmtId="0" fontId="74" fillId="0" borderId="18" applyNumberFormat="0" applyFill="0" applyAlignment="0" applyProtection="0"/>
    <xf numFmtId="0" fontId="75" fillId="0" borderId="29" applyNumberFormat="0" applyFill="0" applyAlignment="0" applyProtection="0"/>
    <xf numFmtId="0" fontId="75" fillId="0" borderId="0" applyNumberFormat="0" applyFill="0" applyBorder="0" applyAlignment="0" applyProtection="0"/>
    <xf numFmtId="0" fontId="15" fillId="0" borderId="30" applyNumberFormat="0" applyFill="0" applyAlignment="0" applyProtection="0"/>
    <xf numFmtId="0" fontId="15" fillId="0" borderId="30" applyNumberFormat="0" applyFill="0" applyAlignment="0" applyProtection="0"/>
    <xf numFmtId="0" fontId="15" fillId="0" borderId="30" applyNumberFormat="0" applyFill="0" applyAlignment="0" applyProtection="0"/>
    <xf numFmtId="0" fontId="15" fillId="0" borderId="31" applyNumberFormat="0" applyFill="0" applyAlignment="0" applyProtection="0"/>
    <xf numFmtId="16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9" fontId="10"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1" borderId="12" applyNumberFormat="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37" fontId="41" fillId="0" borderId="0"/>
    <xf numFmtId="43" fontId="2" fillId="0" borderId="0" applyFont="0" applyFill="0" applyBorder="0" applyAlignment="0" applyProtection="0"/>
    <xf numFmtId="0" fontId="2" fillId="0" borderId="0"/>
    <xf numFmtId="0" fontId="42" fillId="0" borderId="0"/>
    <xf numFmtId="0" fontId="45" fillId="0" borderId="0"/>
    <xf numFmtId="9" fontId="2" fillId="0" borderId="0" applyFont="0" applyFill="0" applyBorder="0" applyAlignment="0" applyProtection="0"/>
    <xf numFmtId="0" fontId="77" fillId="0" borderId="0" applyNumberFormat="0" applyFill="0" applyBorder="0" applyAlignment="0" applyProtection="0"/>
    <xf numFmtId="194" fontId="5" fillId="0" borderId="0" applyFont="0" applyFill="0" applyBorder="0" applyAlignment="0" applyProtection="0">
      <alignment horizontal="right"/>
    </xf>
    <xf numFmtId="0" fontId="62" fillId="0" borderId="8" applyNumberFormat="0" applyFill="0" applyProtection="0">
      <alignment horizontal="center"/>
    </xf>
    <xf numFmtId="195" fontId="5" fillId="45" borderId="0" applyFont="0" applyFill="0" applyBorder="0" applyAlignment="0" applyProtection="0">
      <alignment horizontal="right"/>
    </xf>
    <xf numFmtId="196" fontId="5" fillId="45" borderId="0" applyFont="0" applyFill="0" applyBorder="0" applyAlignment="0" applyProtection="0">
      <alignment horizontal="right"/>
    </xf>
    <xf numFmtId="197" fontId="5" fillId="45" borderId="0" applyFont="0" applyFill="0" applyBorder="0" applyAlignment="0" applyProtection="0">
      <alignment horizontal="right"/>
    </xf>
    <xf numFmtId="0" fontId="17" fillId="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2"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2"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2"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7"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7" fillId="9" borderId="0" applyNumberFormat="0" applyBorder="0" applyAlignment="0" applyProtection="0"/>
    <xf numFmtId="0" fontId="11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0" borderId="0" applyNumberFormat="0" applyBorder="0" applyAlignment="0" applyProtection="0"/>
    <xf numFmtId="0" fontId="114"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2"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7"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7" fillId="12" borderId="0" applyNumberFormat="0" applyBorder="0" applyAlignment="0" applyProtection="0"/>
    <xf numFmtId="0" fontId="114"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2"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2"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7"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7" fillId="11" borderId="0" applyNumberFormat="0" applyBorder="0" applyAlignment="0" applyProtection="0"/>
    <xf numFmtId="0" fontId="114"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15"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5"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0"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15"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15"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15"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5"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15" fillId="6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1"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15" fillId="61"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15"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15" fillId="29"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15"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15" fillId="3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15"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15"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15" fillId="24" borderId="0" applyNumberFormat="0" applyBorder="0" applyAlignment="0" applyProtection="0"/>
    <xf numFmtId="0" fontId="116"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6"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176" fontId="35" fillId="0" borderId="0" applyFill="0" applyBorder="0" applyAlignment="0"/>
    <xf numFmtId="176" fontId="35" fillId="0" borderId="0" applyFill="0" applyBorder="0" applyAlignment="0"/>
    <xf numFmtId="176" fontId="35" fillId="0" borderId="0" applyFill="0" applyBorder="0" applyAlignment="0"/>
    <xf numFmtId="0" fontId="118"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118"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18" borderId="10" applyNumberFormat="0" applyAlignment="0" applyProtection="0"/>
    <xf numFmtId="0" fontId="119" fillId="67"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18"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21" fillId="40" borderId="10" applyNumberFormat="0" applyAlignment="0" applyProtection="0"/>
    <xf numFmtId="0" fontId="118" fillId="18" borderId="10" applyNumberFormat="0" applyAlignment="0" applyProtection="0"/>
    <xf numFmtId="0" fontId="118" fillId="18" borderId="10" applyNumberFormat="0" applyAlignment="0" applyProtection="0"/>
    <xf numFmtId="0" fontId="118" fillId="18" borderId="10" applyNumberFormat="0" applyAlignment="0" applyProtection="0"/>
    <xf numFmtId="0" fontId="118" fillId="18" borderId="10" applyNumberFormat="0" applyAlignment="0" applyProtection="0"/>
    <xf numFmtId="0" fontId="120"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20"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3" fillId="0" borderId="13">
      <alignment horizontal="left" wrapText="1"/>
    </xf>
    <xf numFmtId="41"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67" fontId="1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Protection="0"/>
    <xf numFmtId="180" fontId="2" fillId="0" borderId="0" applyFont="0" applyFill="0" applyBorder="0" applyProtection="0"/>
    <xf numFmtId="180" fontId="2" fillId="0" borderId="0" applyFont="0" applyFill="0" applyBorder="0" applyProtection="0"/>
    <xf numFmtId="43" fontId="4" fillId="0" borderId="0" applyFont="0" applyFill="0" applyBorder="0" applyAlignment="0" applyProtection="0"/>
    <xf numFmtId="167" fontId="4" fillId="0" borderId="0" applyFont="0" applyFill="0" applyBorder="0" applyAlignment="0" applyProtection="0"/>
    <xf numFmtId="19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8" fontId="2" fillId="0" borderId="0" applyFont="0" applyFill="0" applyBorder="0" applyAlignment="0" applyProtection="0"/>
    <xf numFmtId="199" fontId="2" fillId="0" borderId="0" applyFont="0" applyFill="0" applyBorder="0" applyAlignment="0" applyProtection="0"/>
    <xf numFmtId="43"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3"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200" fontId="124" fillId="0" borderId="0" applyFont="0" applyFill="0" applyBorder="0" applyAlignment="0" applyProtection="0"/>
    <xf numFmtId="167"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200" fontId="124" fillId="0" borderId="0" applyFont="0" applyFill="0" applyBorder="0" applyAlignment="0" applyProtection="0"/>
    <xf numFmtId="200" fontId="124"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200" fontId="124" fillId="0" borderId="0" applyFont="0" applyFill="0" applyBorder="0" applyAlignment="0" applyProtection="0"/>
    <xf numFmtId="200" fontId="124"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36" fillId="0" borderId="0" applyNumberFormat="0" applyAlignment="0">
      <alignment horizontal="left"/>
    </xf>
    <xf numFmtId="0" fontId="36" fillId="0" borderId="0" applyNumberFormat="0" applyAlignment="0">
      <alignment horizontal="left"/>
    </xf>
    <xf numFmtId="44" fontId="2" fillId="0" borderId="0" applyFont="0" applyFill="0" applyBorder="0" applyAlignment="0" applyProtection="0"/>
    <xf numFmtId="44" fontId="2" fillId="0" borderId="0" applyFont="0" applyFill="0" applyBorder="0" applyAlignment="0" applyProtection="0"/>
    <xf numFmtId="1" fontId="84" fillId="0" borderId="0" applyNumberFormat="0" applyFill="0" applyBorder="0" applyAlignment="0"/>
    <xf numFmtId="14" fontId="5" fillId="0" borderId="0" applyFill="0" applyBorder="0">
      <alignment horizontal="left"/>
    </xf>
    <xf numFmtId="14" fontId="5" fillId="0" borderId="0" applyFill="0" applyBorder="0">
      <alignment horizontal="left"/>
    </xf>
    <xf numFmtId="14" fontId="5" fillId="0" borderId="0" applyFill="0" applyBorder="0">
      <alignment horizontal="left"/>
    </xf>
    <xf numFmtId="14" fontId="5" fillId="0" borderId="0" applyFill="0" applyBorder="0">
      <alignment horizontal="left"/>
    </xf>
    <xf numFmtId="201" fontId="10" fillId="0" borderId="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37" fillId="0" borderId="0" applyNumberFormat="0" applyAlignment="0">
      <alignment horizontal="left"/>
    </xf>
    <xf numFmtId="0" fontId="37" fillId="0" borderId="0" applyNumberFormat="0" applyAlignment="0">
      <alignment horizontal="left"/>
    </xf>
    <xf numFmtId="0" fontId="2" fillId="0" borderId="0"/>
    <xf numFmtId="202" fontId="2" fillId="0" borderId="0" applyFont="0" applyFill="0" applyBorder="0" applyAlignment="0" applyProtection="0"/>
    <xf numFmtId="0" fontId="1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97" fontId="5" fillId="45" borderId="0" applyNumberFormat="0" applyFont="0" applyBorder="0" applyAlignment="0" applyProtection="0">
      <alignment horizontal="right"/>
    </xf>
    <xf numFmtId="17" fontId="50" fillId="0" borderId="0" applyFont="0" applyFill="0" applyBorder="0" applyAlignment="0" applyProtection="0"/>
    <xf numFmtId="22" fontId="126" fillId="0" borderId="0" applyFont="0" applyFill="0" applyBorder="0" applyAlignment="0" applyProtection="0"/>
    <xf numFmtId="14" fontId="50" fillId="0" borderId="0" applyFont="0" applyFill="0" applyBorder="0" applyAlignment="0" applyProtection="0"/>
    <xf numFmtId="203" fontId="50" fillId="0" borderId="0" applyFont="0" applyFill="0" applyBorder="0" applyAlignment="0" applyProtection="0"/>
    <xf numFmtId="204" fontId="50" fillId="0" borderId="0" applyFont="0" applyFill="0" applyBorder="0" applyAlignment="0" applyProtection="0"/>
    <xf numFmtId="3" fontId="127" fillId="0" borderId="0" applyFont="0" applyFill="0" applyBorder="0" applyAlignment="0" applyProtection="0"/>
    <xf numFmtId="4" fontId="127" fillId="0" borderId="0" applyFont="0" applyFill="0" applyBorder="0" applyAlignment="0" applyProtection="0"/>
    <xf numFmtId="20" fontId="50" fillId="0" borderId="0" applyFont="0" applyFill="0" applyBorder="0" applyAlignment="0" applyProtection="0"/>
    <xf numFmtId="0" fontId="128"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128"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170" fontId="2" fillId="46" borderId="13" applyNumberFormat="0" applyFont="0" applyBorder="0" applyAlignment="0" applyProtection="0"/>
    <xf numFmtId="170" fontId="2" fillId="46" borderId="13" applyNumberFormat="0" applyFont="0" applyBorder="0" applyAlignment="0" applyProtection="0"/>
    <xf numFmtId="170" fontId="2" fillId="46" borderId="13" applyNumberFormat="0" applyFont="0" applyBorder="0" applyAlignment="0" applyProtection="0"/>
    <xf numFmtId="0" fontId="16" fillId="0" borderId="2">
      <alignment horizontal="left" vertical="center"/>
    </xf>
    <xf numFmtId="0" fontId="129" fillId="0" borderId="28"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73" fillId="0" borderId="28"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73" fillId="0" borderId="28"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73" fillId="0" borderId="28"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73" fillId="0" borderId="28"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16"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30"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74"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1" fillId="0" borderId="29"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131" fillId="0" borderId="29"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75" fillId="0" borderId="29"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75" fillId="0" borderId="29"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75" fillId="0" borderId="29"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20"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xf numFmtId="0" fontId="133" fillId="0" borderId="0" applyNumberFormat="0" applyFill="0" applyBorder="0" applyAlignment="0" applyProtection="0">
      <alignment vertical="top"/>
      <protection locked="0"/>
    </xf>
    <xf numFmtId="181" fontId="47" fillId="0" borderId="13" applyFill="0" applyBorder="0">
      <protection locked="0"/>
    </xf>
    <xf numFmtId="0" fontId="134" fillId="10" borderId="10" applyNumberFormat="0" applyAlignment="0" applyProtection="0"/>
    <xf numFmtId="10" fontId="5" fillId="47" borderId="13" applyNumberFormat="0" applyBorder="0" applyAlignment="0" applyProtection="0"/>
    <xf numFmtId="0" fontId="135"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6" fillId="39" borderId="10" applyNumberFormat="0" applyAlignment="0" applyProtection="0"/>
    <xf numFmtId="0" fontId="136" fillId="39" borderId="10" applyNumberFormat="0" applyAlignment="0" applyProtection="0"/>
    <xf numFmtId="0" fontId="27" fillId="10" borderId="10" applyNumberFormat="0" applyAlignment="0" applyProtection="0"/>
    <xf numFmtId="0" fontId="136" fillId="39"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27"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35" fillId="69" borderId="44"/>
    <xf numFmtId="0" fontId="35" fillId="70" borderId="45"/>
    <xf numFmtId="10" fontId="137" fillId="71" borderId="0" applyNumberFormat="0" applyBorder="0"/>
    <xf numFmtId="0" fontId="52" fillId="0" borderId="13" applyNumberFormat="0" applyFill="0" applyBorder="0">
      <alignment horizontal="center"/>
    </xf>
    <xf numFmtId="0" fontId="54" fillId="0" borderId="13"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13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4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205" fontId="2" fillId="0" borderId="0" applyFont="0" applyFill="0" applyBorder="0" applyAlignment="0" applyProtection="0"/>
    <xf numFmtId="177" fontId="35" fillId="0" borderId="0"/>
    <xf numFmtId="177" fontId="35" fillId="0" borderId="0"/>
    <xf numFmtId="0" fontId="2" fillId="0" borderId="0"/>
    <xf numFmtId="0" fontId="1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4" fillId="0" borderId="0"/>
    <xf numFmtId="0" fontId="113" fillId="0" borderId="0"/>
    <xf numFmtId="0" fontId="113" fillId="0" borderId="0"/>
    <xf numFmtId="0" fontId="114" fillId="0" borderId="0"/>
    <xf numFmtId="0" fontId="113" fillId="0" borderId="0"/>
    <xf numFmtId="0" fontId="113" fillId="0" borderId="0"/>
    <xf numFmtId="0" fontId="2" fillId="0" borderId="0"/>
    <xf numFmtId="0" fontId="123" fillId="0" borderId="0"/>
    <xf numFmtId="0" fontId="2" fillId="0" borderId="0"/>
    <xf numFmtId="0" fontId="113" fillId="0" borderId="0"/>
    <xf numFmtId="0" fontId="113" fillId="0" borderId="0"/>
    <xf numFmtId="0" fontId="2" fillId="0" borderId="0"/>
    <xf numFmtId="0" fontId="113" fillId="0" borderId="0"/>
    <xf numFmtId="0" fontId="113" fillId="0" borderId="0"/>
    <xf numFmtId="0" fontId="2" fillId="0" borderId="0"/>
    <xf numFmtId="0" fontId="2" fillId="0" borderId="0"/>
    <xf numFmtId="0" fontId="113" fillId="0" borderId="0"/>
    <xf numFmtId="0" fontId="2" fillId="0" borderId="0"/>
    <xf numFmtId="0" fontId="12" fillId="0" borderId="0"/>
    <xf numFmtId="0" fontId="12" fillId="0" borderId="0"/>
    <xf numFmtId="0" fontId="12" fillId="0" borderId="0"/>
    <xf numFmtId="0" fontId="12" fillId="0" borderId="0"/>
    <xf numFmtId="0" fontId="2" fillId="0" borderId="0"/>
    <xf numFmtId="0" fontId="113" fillId="0" borderId="0"/>
    <xf numFmtId="0" fontId="113" fillId="0" borderId="0"/>
    <xf numFmtId="0" fontId="2" fillId="0" borderId="0"/>
    <xf numFmtId="0" fontId="113" fillId="0" borderId="0"/>
    <xf numFmtId="0" fontId="113" fillId="0" borderId="0"/>
    <xf numFmtId="0" fontId="2" fillId="0" borderId="0"/>
    <xf numFmtId="0" fontId="113" fillId="0" borderId="0"/>
    <xf numFmtId="0" fontId="113"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121"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12" fillId="0" borderId="0"/>
    <xf numFmtId="0" fontId="1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124" fillId="0" borderId="0"/>
    <xf numFmtId="0" fontId="124" fillId="0" borderId="0"/>
    <xf numFmtId="0" fontId="124" fillId="0" borderId="0"/>
    <xf numFmtId="0" fontId="124" fillId="0" borderId="0"/>
    <xf numFmtId="0" fontId="12" fillId="0" borderId="0"/>
    <xf numFmtId="0" fontId="12" fillId="0" borderId="0"/>
    <xf numFmtId="206" fontId="2" fillId="0" borderId="0"/>
    <xf numFmtId="206" fontId="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2" fillId="0" borderId="0" applyFont="0" applyFill="0" applyBorder="0" applyAlignment="0" applyProtection="0"/>
    <xf numFmtId="41"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2">
      <alignment vertical="center"/>
    </xf>
    <xf numFmtId="211" fontId="171" fillId="79" borderId="53"/>
    <xf numFmtId="0" fontId="171" fillId="0" borderId="2"/>
    <xf numFmtId="0" fontId="2" fillId="0" borderId="0"/>
    <xf numFmtId="0" fontId="2" fillId="0" borderId="0"/>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2" fillId="11"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1"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1" borderId="0"/>
    <xf numFmtId="0" fontId="12" fillId="81" borderId="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2" borderId="0" applyNumberFormat="0" applyBorder="0" applyAlignment="0" applyProtection="0"/>
    <xf numFmtId="202" fontId="12" fillId="10"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2" borderId="0"/>
    <xf numFmtId="0" fontId="12" fillId="82"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46" borderId="0" applyNumberFormat="0" applyBorder="0" applyAlignment="0" applyProtection="0"/>
    <xf numFmtId="202" fontId="12" fillId="1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46" borderId="0"/>
    <xf numFmtId="0" fontId="12" fillId="46" borderId="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79" borderId="0" applyNumberFormat="0" applyBorder="0" applyAlignment="0" applyProtection="0"/>
    <xf numFmtId="202"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9" borderId="0"/>
    <xf numFmtId="0" fontId="12" fillId="79"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3" borderId="0"/>
    <xf numFmtId="0" fontId="12" fillId="83" borderId="0"/>
    <xf numFmtId="0" fontId="12" fillId="5" borderId="0" applyNumberFormat="0" applyBorder="0" applyAlignment="0" applyProtection="0"/>
    <xf numFmtId="0" fontId="12" fillId="5" borderId="0" applyNumberFormat="0" applyBorder="0" applyAlignment="0" applyProtection="0"/>
    <xf numFmtId="0" fontId="12" fillId="8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84" borderId="0"/>
    <xf numFmtId="0" fontId="12" fillId="84" borderId="0"/>
    <xf numFmtId="0" fontId="12" fillId="7" borderId="0" applyNumberFormat="0" applyBorder="0" applyAlignment="0" applyProtection="0"/>
    <xf numFmtId="0" fontId="12" fillId="7" borderId="0" applyNumberFormat="0" applyBorder="0" applyAlignment="0" applyProtection="0"/>
    <xf numFmtId="0" fontId="172" fillId="5" borderId="0" applyNumberFormat="0" applyBorder="0" applyAlignment="0" applyProtection="0">
      <alignment vertical="center"/>
    </xf>
    <xf numFmtId="0" fontId="172" fillId="6" borderId="0" applyNumberFormat="0" applyBorder="0" applyAlignment="0" applyProtection="0">
      <alignment vertical="center"/>
    </xf>
    <xf numFmtId="0" fontId="172" fillId="7" borderId="0" applyNumberFormat="0" applyBorder="0" applyAlignment="0" applyProtection="0">
      <alignment vertical="center"/>
    </xf>
    <xf numFmtId="0" fontId="172" fillId="8" borderId="0" applyNumberFormat="0" applyBorder="0" applyAlignment="0" applyProtection="0">
      <alignment vertical="center"/>
    </xf>
    <xf numFmtId="0" fontId="172" fillId="9" borderId="0" applyNumberFormat="0" applyBorder="0" applyAlignment="0" applyProtection="0">
      <alignment vertical="center"/>
    </xf>
    <xf numFmtId="0" fontId="172" fillId="10" borderId="0" applyNumberFormat="0" applyBorder="0" applyAlignment="0" applyProtection="0">
      <alignment vertical="center"/>
    </xf>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1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85" borderId="0" applyNumberFormat="0" applyBorder="0" applyAlignment="0" applyProtection="0"/>
    <xf numFmtId="202" fontId="12" fillId="1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5" borderId="0"/>
    <xf numFmtId="0" fontId="12" fillId="85"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86" borderId="0"/>
    <xf numFmtId="0" fontId="12" fillId="86" borderId="0"/>
    <xf numFmtId="0" fontId="12" fillId="10" borderId="0" applyNumberFormat="0" applyBorder="0" applyAlignment="0" applyProtection="0"/>
    <xf numFmtId="0" fontId="12" fillId="10" borderId="0" applyNumberFormat="0" applyBorder="0" applyAlignment="0" applyProtection="0"/>
    <xf numFmtId="0" fontId="12" fillId="87" borderId="0" applyNumberFormat="0" applyBorder="0" applyAlignment="0" applyProtection="0"/>
    <xf numFmtId="202" fontId="12" fillId="19"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87" borderId="0"/>
    <xf numFmtId="0" fontId="12" fillId="87"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79" borderId="0" applyNumberFormat="0" applyBorder="0" applyAlignment="0" applyProtection="0"/>
    <xf numFmtId="202"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9" borderId="0"/>
    <xf numFmtId="0" fontId="12" fillId="79"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8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5" borderId="0"/>
    <xf numFmtId="0" fontId="12" fillId="85" borderId="0"/>
    <xf numFmtId="0" fontId="12" fillId="11" borderId="0" applyNumberFormat="0" applyBorder="0" applyAlignment="0" applyProtection="0"/>
    <xf numFmtId="0" fontId="12" fillId="11" borderId="0" applyNumberFormat="0" applyBorder="0" applyAlignment="0" applyProtection="0"/>
    <xf numFmtId="0" fontId="12" fillId="88" borderId="0" applyNumberFormat="0" applyBorder="0" applyAlignment="0" applyProtection="0"/>
    <xf numFmtId="202" fontId="12" fillId="1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88" borderId="0"/>
    <xf numFmtId="0" fontId="12" fillId="88"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72" fillId="11" borderId="0" applyNumberFormat="0" applyBorder="0" applyAlignment="0" applyProtection="0">
      <alignment vertical="center"/>
    </xf>
    <xf numFmtId="0" fontId="172" fillId="12" borderId="0" applyNumberFormat="0" applyBorder="0" applyAlignment="0" applyProtection="0">
      <alignment vertical="center"/>
    </xf>
    <xf numFmtId="0" fontId="172" fillId="16" borderId="0" applyNumberFormat="0" applyBorder="0" applyAlignment="0" applyProtection="0">
      <alignment vertical="center"/>
    </xf>
    <xf numFmtId="0" fontId="172" fillId="8" borderId="0" applyNumberFormat="0" applyBorder="0" applyAlignment="0" applyProtection="0">
      <alignment vertical="center"/>
    </xf>
    <xf numFmtId="0" fontId="172" fillId="11" borderId="0" applyNumberFormat="0" applyBorder="0" applyAlignment="0" applyProtection="0">
      <alignment vertical="center"/>
    </xf>
    <xf numFmtId="0" fontId="172" fillId="17" borderId="0" applyNumberFormat="0" applyBorder="0" applyAlignment="0" applyProtection="0">
      <alignment vertical="center"/>
    </xf>
    <xf numFmtId="0" fontId="12" fillId="1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19" fillId="18"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89" borderId="0" applyNumberFormat="0" applyBorder="0" applyAlignment="0" applyProtection="0"/>
    <xf numFmtId="202" fontId="19" fillId="22" borderId="0" applyNumberFormat="0" applyBorder="0" applyAlignment="0" applyProtection="0"/>
    <xf numFmtId="0" fontId="19" fillId="89" borderId="0"/>
    <xf numFmtId="0" fontId="19" fillId="89" borderId="0"/>
    <xf numFmtId="0" fontId="19" fillId="86" borderId="0" applyNumberFormat="0" applyBorder="0" applyAlignment="0" applyProtection="0"/>
    <xf numFmtId="0" fontId="19" fillId="86" borderId="0"/>
    <xf numFmtId="0" fontId="19" fillId="86" borderId="0"/>
    <xf numFmtId="0" fontId="19" fillId="87" borderId="0" applyNumberFormat="0" applyBorder="0" applyAlignment="0" applyProtection="0"/>
    <xf numFmtId="202" fontId="19" fillId="19" borderId="0" applyNumberFormat="0" applyBorder="0" applyAlignment="0" applyProtection="0"/>
    <xf numFmtId="0" fontId="19" fillId="87" borderId="0"/>
    <xf numFmtId="0" fontId="19" fillId="87" borderId="0"/>
    <xf numFmtId="0" fontId="19" fillId="90" borderId="0" applyNumberFormat="0" applyBorder="0" applyAlignment="0" applyProtection="0"/>
    <xf numFmtId="202" fontId="19" fillId="18" borderId="0" applyNumberFormat="0" applyBorder="0" applyAlignment="0" applyProtection="0"/>
    <xf numFmtId="0" fontId="19" fillId="90" borderId="0"/>
    <xf numFmtId="0" fontId="19" fillId="90" borderId="0"/>
    <xf numFmtId="0" fontId="19" fillId="90" borderId="0"/>
    <xf numFmtId="0" fontId="19" fillId="91" borderId="0" applyNumberFormat="0" applyBorder="0" applyAlignment="0" applyProtection="0"/>
    <xf numFmtId="0" fontId="19" fillId="91" borderId="0"/>
    <xf numFmtId="0" fontId="19" fillId="91" borderId="0"/>
    <xf numFmtId="0" fontId="19" fillId="92" borderId="0" applyNumberFormat="0" applyBorder="0" applyAlignment="0" applyProtection="0"/>
    <xf numFmtId="202" fontId="19" fillId="10" borderId="0" applyNumberFormat="0" applyBorder="0" applyAlignment="0" applyProtection="0"/>
    <xf numFmtId="0" fontId="19" fillId="92" borderId="0"/>
    <xf numFmtId="0" fontId="19" fillId="92" borderId="0"/>
    <xf numFmtId="0" fontId="19" fillId="92" borderId="0"/>
    <xf numFmtId="0" fontId="173" fillId="20" borderId="0" applyNumberFormat="0" applyBorder="0" applyAlignment="0" applyProtection="0">
      <alignment vertical="center"/>
    </xf>
    <xf numFmtId="0" fontId="173" fillId="12" borderId="0" applyNumberFormat="0" applyBorder="0" applyAlignment="0" applyProtection="0">
      <alignment vertical="center"/>
    </xf>
    <xf numFmtId="0" fontId="173" fillId="16" borderId="0" applyNumberFormat="0" applyBorder="0" applyAlignment="0" applyProtection="0">
      <alignment vertical="center"/>
    </xf>
    <xf numFmtId="0" fontId="173" fillId="21" borderId="0" applyNumberFormat="0" applyBorder="0" applyAlignment="0" applyProtection="0">
      <alignment vertical="center"/>
    </xf>
    <xf numFmtId="0" fontId="173" fillId="22" borderId="0" applyNumberFormat="0" applyBorder="0" applyAlignment="0" applyProtection="0">
      <alignment vertical="center"/>
    </xf>
    <xf numFmtId="0" fontId="173" fillId="23" borderId="0" applyNumberFormat="0" applyBorder="0" applyAlignment="0" applyProtection="0">
      <alignment vertical="center"/>
    </xf>
    <xf numFmtId="0" fontId="19" fillId="2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0" fontId="19" fillId="28"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9" borderId="0" applyNumberFormat="0" applyBorder="0" applyAlignment="0" applyProtection="0"/>
    <xf numFmtId="0" fontId="19" fillId="24" borderId="0" applyNumberFormat="0" applyBorder="0" applyAlignment="0" applyProtection="0"/>
    <xf numFmtId="0" fontId="30" fillId="40" borderId="23" applyNumberFormat="0" applyAlignment="0" applyProtection="0"/>
    <xf numFmtId="0" fontId="30" fillId="40" borderId="23" applyNumberFormat="0" applyAlignment="0" applyProtection="0"/>
    <xf numFmtId="0" fontId="20" fillId="82" borderId="0" applyNumberFormat="0" applyBorder="0" applyAlignment="0" applyProtection="0"/>
    <xf numFmtId="202" fontId="117" fillId="31" borderId="0" applyNumberFormat="0" applyBorder="0" applyAlignment="0" applyProtection="0"/>
    <xf numFmtId="0" fontId="20" fillId="82" borderId="0"/>
    <xf numFmtId="0" fontId="2" fillId="0" borderId="55"/>
    <xf numFmtId="0" fontId="2" fillId="0" borderId="55"/>
    <xf numFmtId="202" fontId="2" fillId="0" borderId="55"/>
    <xf numFmtId="0" fontId="11" fillId="40" borderId="10" applyNumberFormat="0" applyAlignment="0" applyProtection="0"/>
    <xf numFmtId="0" fontId="21" fillId="40" borderId="10" applyNumberFormat="0" applyAlignment="0" applyProtection="0"/>
    <xf numFmtId="0" fontId="23" fillId="7" borderId="0" applyNumberFormat="0" applyBorder="0" applyAlignment="0" applyProtection="0"/>
    <xf numFmtId="0" fontId="2" fillId="0" borderId="9"/>
    <xf numFmtId="202" fontId="2" fillId="0" borderId="9"/>
    <xf numFmtId="0" fontId="23" fillId="9" borderId="0" applyNumberFormat="0" applyBorder="0" applyAlignment="0" applyProtection="0"/>
    <xf numFmtId="212" fontId="17" fillId="0" borderId="0" applyFill="0" applyBorder="0" applyAlignment="0"/>
    <xf numFmtId="0" fontId="21" fillId="45" borderId="10" applyNumberFormat="0" applyAlignment="0" applyProtection="0"/>
    <xf numFmtId="0" fontId="21" fillId="45" borderId="10"/>
    <xf numFmtId="0" fontId="21" fillId="45" borderId="10"/>
    <xf numFmtId="0" fontId="11" fillId="40" borderId="10" applyNumberFormat="0" applyAlignment="0" applyProtection="0"/>
    <xf numFmtId="0" fontId="14" fillId="41" borderId="12" applyNumberFormat="0" applyAlignment="0" applyProtection="0"/>
    <xf numFmtId="0" fontId="13" fillId="0" borderId="22" applyNumberFormat="0" applyFill="0" applyAlignment="0" applyProtection="0"/>
    <xf numFmtId="0" fontId="14" fillId="41" borderId="12" applyNumberFormat="0" applyAlignment="0" applyProtection="0"/>
    <xf numFmtId="0" fontId="28" fillId="0" borderId="11" applyNumberFormat="0" applyFill="0" applyAlignment="0" applyProtection="0"/>
    <xf numFmtId="0" fontId="14" fillId="93" borderId="12" applyNumberFormat="0" applyAlignment="0" applyProtection="0"/>
    <xf numFmtId="0" fontId="14" fillId="93" borderId="12"/>
    <xf numFmtId="166" fontId="2" fillId="0" borderId="0" applyFont="0" applyFill="0" applyBorder="0" applyAlignment="0" applyProtection="0"/>
    <xf numFmtId="214" fontId="2" fillId="0" borderId="0"/>
    <xf numFmtId="213" fontId="2" fillId="0" borderId="0"/>
    <xf numFmtId="167" fontId="12" fillId="0" borderId="0" applyFont="0" applyFill="0" applyBorder="0" applyAlignment="0" applyProtection="0"/>
    <xf numFmtId="213" fontId="12"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98" fontId="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alignment vertical="center"/>
    </xf>
    <xf numFmtId="213" fontId="2" fillId="0" borderId="0" applyFont="0" applyFill="0" applyBorder="0" applyAlignment="0" applyProtection="0"/>
    <xf numFmtId="167" fontId="12" fillId="0" borderId="0" applyFont="0" applyFill="0" applyBorder="0" applyAlignment="0" applyProtection="0"/>
    <xf numFmtId="165" fontId="2" fillId="0" borderId="0" applyFont="0" applyFill="0" applyBorder="0" applyAlignment="0" applyProtection="0">
      <alignment vertic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174" fillId="0" borderId="0" applyFont="0" applyFill="0" applyBorder="0" applyAlignment="0" applyProtection="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67"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0" fontId="2" fillId="0" borderId="0"/>
    <xf numFmtId="0" fontId="2" fillId="0" borderId="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3" fontId="12" fillId="0" borderId="0" applyFont="0" applyFill="0" applyBorder="0" applyAlignment="0" applyProtection="0"/>
    <xf numFmtId="167"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167"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40" fontId="38" fillId="0" borderId="0" applyFont="0" applyFill="0" applyBorder="0" applyAlignment="0" applyProtection="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3" fontId="176" fillId="0" borderId="0" applyFont="0" applyFill="0" applyBorder="0" applyAlignment="0" applyProtection="0"/>
    <xf numFmtId="217" fontId="2" fillId="69" borderId="0" applyBorder="0" applyProtection="0"/>
    <xf numFmtId="218" fontId="2" fillId="0" borderId="0"/>
    <xf numFmtId="219" fontId="2" fillId="0" borderId="0"/>
    <xf numFmtId="218" fontId="2" fillId="0" borderId="0"/>
    <xf numFmtId="179" fontId="2" fillId="0" borderId="0" applyFont="0" applyFill="0" applyBorder="0" applyAlignment="0" applyProtection="0"/>
    <xf numFmtId="220" fontId="2" fillId="0" borderId="0"/>
    <xf numFmtId="221" fontId="2" fillId="0" borderId="0"/>
    <xf numFmtId="220" fontId="2" fillId="0" borderId="0"/>
    <xf numFmtId="222" fontId="176" fillId="0" borderId="0" applyFont="0" applyFill="0" applyBorder="0" applyAlignment="0" applyProtection="0"/>
    <xf numFmtId="1" fontId="84" fillId="0" borderId="0"/>
    <xf numFmtId="14" fontId="5" fillId="0" borderId="0" applyFill="0" applyBorder="0">
      <alignment horizontal="left"/>
    </xf>
    <xf numFmtId="214" fontId="2" fillId="0" borderId="0" applyFont="0" applyFill="0" applyBorder="0" applyAlignment="0" applyProtection="0"/>
    <xf numFmtId="0" fontId="27" fillId="19" borderId="10" applyNumberFormat="0" applyAlignment="0" applyProtection="0"/>
    <xf numFmtId="0" fontId="27" fillId="19" borderId="10" applyNumberFormat="0" applyAlignment="0" applyProtection="0"/>
    <xf numFmtId="0" fontId="26" fillId="0" borderId="0" applyNumberFormat="0" applyFill="0" applyBorder="0" applyAlignment="0" applyProtection="0"/>
    <xf numFmtId="0" fontId="19" fillId="61"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37" borderId="0" applyNumberFormat="0" applyBorder="0" applyAlignment="0" applyProtection="0"/>
    <xf numFmtId="0" fontId="19" fillId="22" borderId="0" applyNumberFormat="0" applyBorder="0" applyAlignment="0" applyProtection="0"/>
    <xf numFmtId="0" fontId="19" fillId="29" borderId="0" applyNumberFormat="0" applyBorder="0" applyAlignment="0" applyProtection="0"/>
    <xf numFmtId="0" fontId="27" fillId="19" borderId="10" applyNumberFormat="0" applyAlignment="0" applyProtection="0"/>
    <xf numFmtId="0" fontId="15" fillId="0" borderId="31" applyNumberFormat="0" applyFill="0" applyAlignment="0" applyProtection="0"/>
    <xf numFmtId="0" fontId="15" fillId="0" borderId="5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2" fontId="176" fillId="0" borderId="0" applyFont="0" applyFill="0" applyBorder="0" applyAlignment="0" applyProtection="0"/>
    <xf numFmtId="0" fontId="23" fillId="46" borderId="0" applyNumberFormat="0" applyBorder="0" applyAlignment="0" applyProtection="0"/>
    <xf numFmtId="202" fontId="23" fillId="68" borderId="0" applyNumberFormat="0" applyBorder="0" applyAlignment="0" applyProtection="0"/>
    <xf numFmtId="38" fontId="5" fillId="45" borderId="0" applyNumberFormat="0" applyBorder="0" applyAlignment="0" applyProtection="0"/>
    <xf numFmtId="38" fontId="5" fillId="45" borderId="0" applyNumberFormat="0" applyBorder="0" applyAlignment="0" applyProtection="0"/>
    <xf numFmtId="0" fontId="23" fillId="9" borderId="0" applyNumberFormat="0" applyBorder="0" applyAlignment="0" applyProtection="0"/>
    <xf numFmtId="0" fontId="23" fillId="7" borderId="0" applyNumberFormat="0" applyBorder="0" applyAlignment="0" applyProtection="0"/>
    <xf numFmtId="202" fontId="24" fillId="0" borderId="41" applyNumberFormat="0" applyFill="0" applyAlignment="0" applyProtection="0"/>
    <xf numFmtId="202" fontId="25" fillId="0" borderId="18" applyNumberFormat="0" applyFill="0" applyAlignment="0" applyProtection="0"/>
    <xf numFmtId="202" fontId="26" fillId="0" borderId="43" applyNumberFormat="0" applyFill="0" applyAlignment="0" applyProtection="0"/>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20" fillId="8" borderId="0" applyNumberFormat="0" applyBorder="0" applyAlignment="0" applyProtection="0"/>
    <xf numFmtId="0" fontId="20" fillId="6" borderId="0" applyNumberFormat="0" applyBorder="0" applyAlignment="0" applyProtection="0"/>
    <xf numFmtId="10" fontId="5" fillId="47" borderId="13" applyNumberFormat="0" applyBorder="0" applyAlignment="0" applyProtection="0"/>
    <xf numFmtId="202" fontId="136" fillId="3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213" fontId="2" fillId="0" borderId="0" applyFont="0" applyFill="0" applyBorder="0" applyAlignment="0" applyProtection="0"/>
    <xf numFmtId="213" fontId="2" fillId="0" borderId="0" applyFont="0" applyFill="0" applyBorder="0" applyAlignment="0" applyProtection="0"/>
    <xf numFmtId="202" fontId="139" fillId="0" borderId="46" applyNumberFormat="0" applyFill="0" applyAlignment="0" applyProtection="0"/>
    <xf numFmtId="199" fontId="2" fillId="0" borderId="0" applyFont="0" applyFill="0" applyBorder="0" applyAlignment="0" applyProtection="0"/>
    <xf numFmtId="213" fontId="2" fillId="0" borderId="0" applyFont="0" applyFill="0" applyBorder="0" applyAlignment="0" applyProtection="0"/>
    <xf numFmtId="216" fontId="2" fillId="0" borderId="0"/>
    <xf numFmtId="216" fontId="2" fillId="0" borderId="0"/>
    <xf numFmtId="216" fontId="2" fillId="0" borderId="0"/>
    <xf numFmtId="213" fontId="178" fillId="0" borderId="0"/>
    <xf numFmtId="170" fontId="2" fillId="0" borderId="0" applyFont="0" applyFill="0" applyBorder="0" applyAlignment="0" applyProtection="0"/>
    <xf numFmtId="223" fontId="2" fillId="0" borderId="0" applyFont="0" applyFill="0" applyBorder="0" applyAlignment="0" applyProtection="0"/>
    <xf numFmtId="0" fontId="29" fillId="19" borderId="0" applyNumberFormat="0" applyBorder="0" applyAlignment="0" applyProtection="0"/>
    <xf numFmtId="0" fontId="29" fillId="71" borderId="0" applyNumberFormat="0" applyBorder="0" applyAlignment="0" applyProtection="0"/>
    <xf numFmtId="202" fontId="29" fillId="39" borderId="0" applyNumberFormat="0" applyBorder="0" applyAlignment="0" applyProtection="0"/>
    <xf numFmtId="205" fontId="2" fillId="0" borderId="0" applyFont="0" applyFill="0" applyBorder="0" applyAlignment="0" applyProtection="0"/>
    <xf numFmtId="0" fontId="35" fillId="0" borderId="0"/>
    <xf numFmtId="22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4" fillId="0" borderId="0"/>
    <xf numFmtId="202"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2" fillId="0" borderId="0"/>
    <xf numFmtId="202" fontId="2" fillId="0" borderId="0"/>
    <xf numFmtId="0" fontId="2" fillId="0" borderId="0"/>
    <xf numFmtId="0" fontId="2" fillId="0" borderId="0"/>
    <xf numFmtId="202"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12" fillId="0" borderId="0"/>
    <xf numFmtId="202" fontId="12" fillId="0" borderId="0"/>
    <xf numFmtId="202" fontId="12" fillId="0" borderId="0"/>
    <xf numFmtId="202" fontId="1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202" fontId="2" fillId="0" borderId="0"/>
    <xf numFmtId="202" fontId="2" fillId="0" borderId="0"/>
    <xf numFmtId="202" fontId="179" fillId="0" borderId="0"/>
    <xf numFmtId="202" fontId="179" fillId="0" borderId="0"/>
    <xf numFmtId="202" fontId="175" fillId="0" borderId="0"/>
    <xf numFmtId="202" fontId="175" fillId="0" borderId="0"/>
    <xf numFmtId="202" fontId="12" fillId="0" borderId="0"/>
    <xf numFmtId="20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0" fillId="0" borderId="0" applyNumberFormat="0" applyFill="0" applyBorder="0" applyAlignment="0" applyProtection="0"/>
    <xf numFmtId="0" fontId="18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8" fillId="0" borderId="0"/>
  </cellStyleXfs>
  <cellXfs count="1100">
    <xf numFmtId="0" fontId="0" fillId="0" borderId="0" xfId="0"/>
    <xf numFmtId="0" fontId="78" fillId="0" borderId="0" xfId="0" applyFont="1"/>
    <xf numFmtId="0" fontId="5" fillId="0" borderId="0" xfId="0" applyFont="1" applyAlignment="1">
      <alignment horizontal="left" vertical="center"/>
    </xf>
    <xf numFmtId="0" fontId="9" fillId="0" borderId="0" xfId="0" applyFont="1" applyAlignment="1">
      <alignment horizontal="right" vertical="center"/>
    </xf>
    <xf numFmtId="0" fontId="5" fillId="0" borderId="0" xfId="0" applyFont="1" applyAlignment="1">
      <alignment vertical="center"/>
    </xf>
    <xf numFmtId="3" fontId="5" fillId="0" borderId="0" xfId="0" applyNumberFormat="1" applyFont="1" applyAlignment="1">
      <alignment vertical="center"/>
    </xf>
    <xf numFmtId="0" fontId="9" fillId="3" borderId="0" xfId="0" applyFont="1" applyFill="1" applyAlignment="1">
      <alignment vertical="center"/>
    </xf>
    <xf numFmtId="0" fontId="9" fillId="0" borderId="0" xfId="0" applyFont="1" applyAlignment="1">
      <alignment vertical="center"/>
    </xf>
    <xf numFmtId="3" fontId="5" fillId="0" borderId="0" xfId="0" applyNumberFormat="1" applyFont="1" applyAlignment="1">
      <alignment horizontal="right" vertical="center"/>
    </xf>
    <xf numFmtId="3" fontId="9" fillId="3" borderId="0" xfId="0" applyNumberFormat="1" applyFont="1" applyFill="1" applyAlignment="1">
      <alignment horizontal="right" vertical="center"/>
    </xf>
    <xf numFmtId="3" fontId="9" fillId="3" borderId="0" xfId="0" applyNumberFormat="1" applyFont="1" applyFill="1" applyAlignment="1">
      <alignment vertical="center"/>
    </xf>
    <xf numFmtId="0" fontId="79" fillId="0" borderId="0" xfId="0" applyFont="1" applyAlignment="1">
      <alignment vertical="center"/>
    </xf>
    <xf numFmtId="170" fontId="79" fillId="0" borderId="0" xfId="1" applyNumberFormat="1" applyFont="1" applyFill="1" applyBorder="1" applyAlignment="1">
      <alignment vertical="center"/>
    </xf>
    <xf numFmtId="3" fontId="79" fillId="0" borderId="0" xfId="0" applyNumberFormat="1" applyFont="1" applyAlignment="1">
      <alignment vertical="center"/>
    </xf>
    <xf numFmtId="0" fontId="5" fillId="0" borderId="0" xfId="0" applyFont="1" applyAlignment="1">
      <alignment vertical="center" wrapText="1"/>
    </xf>
    <xf numFmtId="3" fontId="5" fillId="0" borderId="0" xfId="0" applyNumberFormat="1" applyFont="1" applyAlignment="1" applyProtection="1">
      <alignment horizontal="right"/>
      <protection locked="0"/>
    </xf>
    <xf numFmtId="0" fontId="9" fillId="3" borderId="0" xfId="4" applyFont="1" applyFill="1" applyAlignment="1">
      <alignment vertical="top" wrapText="1"/>
    </xf>
    <xf numFmtId="3" fontId="9" fillId="3" borderId="0" xfId="0" applyNumberFormat="1" applyFont="1" applyFill="1" applyAlignment="1">
      <alignment vertical="top" wrapText="1"/>
    </xf>
    <xf numFmtId="0" fontId="9" fillId="0" borderId="0" xfId="0" applyFont="1" applyAlignment="1">
      <alignment wrapText="1"/>
    </xf>
    <xf numFmtId="0" fontId="5" fillId="0" borderId="0" xfId="7" applyFont="1" applyAlignment="1">
      <alignment vertical="top" wrapText="1"/>
    </xf>
    <xf numFmtId="171" fontId="5" fillId="0" borderId="0" xfId="0" applyNumberFormat="1" applyFont="1" applyAlignment="1" applyProtection="1">
      <alignment horizontal="right"/>
      <protection locked="0"/>
    </xf>
    <xf numFmtId="0" fontId="5" fillId="3" borderId="0" xfId="7" applyFont="1" applyFill="1" applyAlignment="1">
      <alignment vertical="top" wrapText="1"/>
    </xf>
    <xf numFmtId="0" fontId="5" fillId="0" borderId="0" xfId="0" applyFont="1" applyAlignment="1">
      <alignment horizontal="right"/>
    </xf>
    <xf numFmtId="0" fontId="5" fillId="0" borderId="0" xfId="0" applyFont="1" applyAlignment="1">
      <alignment horizontal="left" wrapText="1"/>
    </xf>
    <xf numFmtId="0" fontId="78" fillId="0" borderId="0" xfId="0" applyFont="1" applyAlignment="1">
      <alignment wrapText="1"/>
    </xf>
    <xf numFmtId="3" fontId="5" fillId="0" borderId="0" xfId="0" applyNumberFormat="1" applyFont="1" applyAlignment="1">
      <alignment vertical="top" wrapText="1"/>
    </xf>
    <xf numFmtId="3" fontId="5" fillId="0" borderId="0" xfId="1" applyNumberFormat="1" applyFont="1" applyFill="1" applyBorder="1" applyAlignment="1">
      <alignment vertical="center"/>
    </xf>
    <xf numFmtId="3" fontId="5" fillId="0" borderId="0" xfId="0" quotePrefix="1" applyNumberFormat="1" applyFont="1" applyAlignment="1">
      <alignment vertical="top" wrapText="1"/>
    </xf>
    <xf numFmtId="3" fontId="5" fillId="0" borderId="0" xfId="5" applyNumberFormat="1" applyFont="1" applyAlignment="1">
      <alignment vertical="top" wrapText="1"/>
    </xf>
    <xf numFmtId="3" fontId="79" fillId="0" borderId="0" xfId="0" applyNumberFormat="1" applyFont="1" applyAlignment="1">
      <alignment vertical="top" wrapText="1"/>
    </xf>
    <xf numFmtId="3" fontId="81" fillId="0" borderId="0" xfId="0" applyNumberFormat="1" applyFont="1" applyAlignment="1">
      <alignment vertical="top" wrapText="1"/>
    </xf>
    <xf numFmtId="0" fontId="5" fillId="0" borderId="0" xfId="4" applyFont="1" applyAlignment="1">
      <alignment vertical="top" wrapText="1"/>
    </xf>
    <xf numFmtId="0" fontId="5" fillId="0" borderId="0" xfId="4" applyFont="1" applyAlignment="1">
      <alignment vertical="top"/>
    </xf>
    <xf numFmtId="0" fontId="79" fillId="0" borderId="0" xfId="4" applyFont="1" applyAlignment="1">
      <alignment vertical="top" wrapText="1"/>
    </xf>
    <xf numFmtId="0" fontId="9" fillId="3" borderId="0" xfId="4" applyFont="1" applyFill="1" applyAlignment="1">
      <alignment vertical="top"/>
    </xf>
    <xf numFmtId="3" fontId="5" fillId="0" borderId="0" xfId="0" applyNumberFormat="1" applyFont="1" applyAlignment="1" applyProtection="1">
      <alignment vertical="top" wrapText="1"/>
      <protection locked="0"/>
    </xf>
    <xf numFmtId="3" fontId="9" fillId="3" borderId="0" xfId="0" applyNumberFormat="1" applyFont="1" applyFill="1" applyAlignment="1" applyProtection="1">
      <alignment vertical="top" wrapText="1"/>
      <protection locked="0"/>
    </xf>
    <xf numFmtId="0" fontId="9" fillId="0" borderId="0" xfId="4" applyFont="1" applyAlignment="1">
      <alignment vertical="top" wrapText="1"/>
    </xf>
    <xf numFmtId="3" fontId="9" fillId="0" borderId="0" xfId="0" applyNumberFormat="1" applyFont="1" applyAlignment="1">
      <alignment vertical="top" wrapText="1"/>
    </xf>
    <xf numFmtId="3" fontId="9" fillId="0" borderId="0" xfId="0" applyNumberFormat="1" applyFont="1" applyAlignment="1" applyProtection="1">
      <alignment vertical="top" wrapText="1"/>
      <protection locked="0"/>
    </xf>
    <xf numFmtId="170" fontId="79" fillId="0" borderId="0" xfId="0" applyNumberFormat="1" applyFont="1" applyAlignment="1">
      <alignment horizontal="right" vertical="center"/>
    </xf>
    <xf numFmtId="0" fontId="5" fillId="0" borderId="0" xfId="0" applyFont="1"/>
    <xf numFmtId="0" fontId="82" fillId="0" borderId="0" xfId="0" applyFont="1"/>
    <xf numFmtId="190" fontId="5" fillId="0" borderId="0" xfId="0" applyNumberFormat="1" applyFont="1" applyAlignment="1">
      <alignment horizontal="right"/>
    </xf>
    <xf numFmtId="171" fontId="5" fillId="3" borderId="0" xfId="0" applyNumberFormat="1" applyFont="1" applyFill="1" applyAlignment="1" applyProtection="1">
      <alignment horizontal="right"/>
      <protection locked="0"/>
    </xf>
    <xf numFmtId="171" fontId="5" fillId="0" borderId="0" xfId="0" quotePrefix="1" applyNumberFormat="1" applyFont="1" applyAlignment="1" applyProtection="1">
      <alignment horizontal="right"/>
      <protection locked="0"/>
    </xf>
    <xf numFmtId="3" fontId="78" fillId="0" borderId="0" xfId="0" applyNumberFormat="1" applyFont="1" applyAlignment="1">
      <alignment horizontal="right"/>
    </xf>
    <xf numFmtId="3" fontId="5" fillId="0" borderId="0" xfId="0" applyNumberFormat="1" applyFont="1" applyAlignment="1">
      <alignment horizontal="right"/>
    </xf>
    <xf numFmtId="0" fontId="83" fillId="2" borderId="0" xfId="0" applyFont="1" applyFill="1"/>
    <xf numFmtId="0" fontId="83" fillId="54" borderId="0" xfId="0" applyFont="1" applyFill="1"/>
    <xf numFmtId="0" fontId="84" fillId="54" borderId="0" xfId="0" applyFont="1" applyFill="1"/>
    <xf numFmtId="0" fontId="5" fillId="2" borderId="0" xfId="0" applyFont="1" applyFill="1" applyAlignment="1">
      <alignment horizontal="justify" vertical="center"/>
    </xf>
    <xf numFmtId="3" fontId="79" fillId="0" borderId="0" xfId="0" applyNumberFormat="1" applyFont="1" applyAlignment="1">
      <alignment horizontal="right" vertical="center"/>
    </xf>
    <xf numFmtId="0" fontId="85" fillId="2" borderId="6" xfId="0" applyFont="1" applyFill="1" applyBorder="1"/>
    <xf numFmtId="0" fontId="87" fillId="0" borderId="0" xfId="0" applyFont="1"/>
    <xf numFmtId="3" fontId="81" fillId="0" borderId="0" xfId="0" applyNumberFormat="1" applyFont="1" applyAlignment="1">
      <alignment vertical="center"/>
    </xf>
    <xf numFmtId="170" fontId="79" fillId="0" borderId="0" xfId="0" applyNumberFormat="1" applyFont="1" applyAlignment="1">
      <alignment vertical="center"/>
    </xf>
    <xf numFmtId="0" fontId="82" fillId="0" borderId="0" xfId="0" applyFont="1" applyAlignment="1">
      <alignment wrapText="1"/>
    </xf>
    <xf numFmtId="3" fontId="82" fillId="0" borderId="0" xfId="0" applyNumberFormat="1" applyFont="1"/>
    <xf numFmtId="0" fontId="88" fillId="54" borderId="0" xfId="0" applyFont="1" applyFill="1"/>
    <xf numFmtId="0" fontId="9" fillId="0" borderId="0" xfId="0" applyFont="1" applyAlignment="1">
      <alignment horizontal="right"/>
    </xf>
    <xf numFmtId="0" fontId="9" fillId="0" borderId="0" xfId="0" applyFont="1" applyAlignment="1">
      <alignment horizontal="left" wrapText="1"/>
    </xf>
    <xf numFmtId="0" fontId="9" fillId="0" borderId="32" xfId="0" applyFont="1" applyBorder="1" applyAlignment="1">
      <alignment horizontal="left" wrapText="1"/>
    </xf>
    <xf numFmtId="0" fontId="9" fillId="0" borderId="32" xfId="0" applyFont="1" applyBorder="1" applyAlignment="1">
      <alignment horizontal="right"/>
    </xf>
    <xf numFmtId="0" fontId="5" fillId="0" borderId="0" xfId="0" applyFont="1" applyAlignment="1">
      <alignment wrapText="1"/>
    </xf>
    <xf numFmtId="0" fontId="7" fillId="0" borderId="0" xfId="0" applyFont="1" applyAlignment="1">
      <alignment wrapText="1"/>
    </xf>
    <xf numFmtId="0" fontId="78" fillId="2" borderId="0" xfId="0" applyFont="1" applyFill="1"/>
    <xf numFmtId="0" fontId="84" fillId="54" borderId="0" xfId="0" applyFont="1" applyFill="1" applyAlignment="1">
      <alignment horizontal="right"/>
    </xf>
    <xf numFmtId="3" fontId="5" fillId="0" borderId="0" xfId="0" applyNumberFormat="1" applyFont="1" applyAlignment="1">
      <alignment horizontal="right" vertical="top" wrapText="1"/>
    </xf>
    <xf numFmtId="0" fontId="7" fillId="54" borderId="0" xfId="0" applyFont="1" applyFill="1"/>
    <xf numFmtId="0" fontId="84" fillId="54" borderId="34" xfId="0" applyFont="1" applyFill="1" applyBorder="1"/>
    <xf numFmtId="0" fontId="82" fillId="0" borderId="34" xfId="0" applyFont="1" applyBorder="1"/>
    <xf numFmtId="0" fontId="9" fillId="0" borderId="34" xfId="0" applyFont="1" applyBorder="1" applyAlignment="1">
      <alignment horizontal="right" vertical="center"/>
    </xf>
    <xf numFmtId="3" fontId="5" fillId="0" borderId="34" xfId="0" applyNumberFormat="1" applyFont="1" applyBorder="1" applyAlignment="1">
      <alignment vertical="center"/>
    </xf>
    <xf numFmtId="3" fontId="9" fillId="3" borderId="34" xfId="0" applyNumberFormat="1" applyFont="1" applyFill="1" applyBorder="1" applyAlignment="1">
      <alignment vertical="center"/>
    </xf>
    <xf numFmtId="3" fontId="9" fillId="3" borderId="34" xfId="0" applyNumberFormat="1" applyFont="1" applyFill="1" applyBorder="1" applyAlignment="1">
      <alignment horizontal="right" vertical="center"/>
    </xf>
    <xf numFmtId="170" fontId="79" fillId="0" borderId="34" xfId="1" applyNumberFormat="1" applyFont="1" applyFill="1" applyBorder="1" applyAlignment="1">
      <alignment vertical="center"/>
    </xf>
    <xf numFmtId="3" fontId="79" fillId="0" borderId="34" xfId="0" applyNumberFormat="1" applyFont="1" applyBorder="1" applyAlignment="1">
      <alignment vertical="center"/>
    </xf>
    <xf numFmtId="170" fontId="79" fillId="0" borderId="34" xfId="0" applyNumberFormat="1" applyFont="1" applyBorder="1" applyAlignment="1">
      <alignment vertical="center"/>
    </xf>
    <xf numFmtId="0" fontId="84" fillId="54" borderId="34" xfId="0" applyFont="1" applyFill="1" applyBorder="1" applyAlignment="1">
      <alignment horizontal="right"/>
    </xf>
    <xf numFmtId="0" fontId="5" fillId="0" borderId="34" xfId="0" applyFont="1" applyBorder="1" applyAlignment="1">
      <alignment horizontal="right"/>
    </xf>
    <xf numFmtId="0" fontId="9" fillId="0" borderId="34" xfId="0" applyFont="1" applyBorder="1" applyAlignment="1">
      <alignment horizontal="right"/>
    </xf>
    <xf numFmtId="3" fontId="5" fillId="0" borderId="34" xfId="0" applyNumberFormat="1" applyFont="1" applyBorder="1" applyAlignment="1">
      <alignment horizontal="right"/>
    </xf>
    <xf numFmtId="171" fontId="5" fillId="0" borderId="34" xfId="0" applyNumberFormat="1" applyFont="1" applyBorder="1" applyAlignment="1" applyProtection="1">
      <alignment horizontal="right"/>
      <protection locked="0"/>
    </xf>
    <xf numFmtId="171" fontId="5" fillId="3" borderId="34" xfId="0" applyNumberFormat="1" applyFont="1" applyFill="1" applyBorder="1" applyAlignment="1" applyProtection="1">
      <alignment horizontal="right"/>
      <protection locked="0"/>
    </xf>
    <xf numFmtId="3" fontId="5" fillId="0" borderId="34" xfId="0" applyNumberFormat="1" applyFont="1" applyBorder="1" applyAlignment="1" applyProtection="1">
      <alignment horizontal="right"/>
      <protection locked="0"/>
    </xf>
    <xf numFmtId="171" fontId="5" fillId="0" borderId="34" xfId="0" quotePrefix="1" applyNumberFormat="1" applyFont="1" applyBorder="1" applyAlignment="1" applyProtection="1">
      <alignment horizontal="right"/>
      <protection locked="0"/>
    </xf>
    <xf numFmtId="190" fontId="5" fillId="0" borderId="34" xfId="0" applyNumberFormat="1" applyFont="1" applyBorder="1" applyAlignment="1">
      <alignment horizontal="right"/>
    </xf>
    <xf numFmtId="0" fontId="7" fillId="54" borderId="0" xfId="0" applyFont="1" applyFill="1" applyAlignment="1">
      <alignment horizontal="right"/>
    </xf>
    <xf numFmtId="3" fontId="5" fillId="0" borderId="34" xfId="1" applyNumberFormat="1" applyFont="1" applyFill="1" applyBorder="1" applyAlignment="1">
      <alignment vertical="center"/>
    </xf>
    <xf numFmtId="3" fontId="5" fillId="0" borderId="34" xfId="0" applyNumberFormat="1" applyFont="1" applyBorder="1" applyAlignment="1">
      <alignment horizontal="right" vertical="center"/>
    </xf>
    <xf numFmtId="170" fontId="79" fillId="0" borderId="34" xfId="0" applyNumberFormat="1" applyFont="1" applyBorder="1" applyAlignment="1">
      <alignment horizontal="right" vertical="center"/>
    </xf>
    <xf numFmtId="0" fontId="88" fillId="54" borderId="34" xfId="0" applyFont="1" applyFill="1" applyBorder="1"/>
    <xf numFmtId="3" fontId="78" fillId="0" borderId="34" xfId="0" applyNumberFormat="1" applyFont="1" applyBorder="1"/>
    <xf numFmtId="3" fontId="80" fillId="3" borderId="34" xfId="0" applyNumberFormat="1" applyFont="1" applyFill="1" applyBorder="1"/>
    <xf numFmtId="0" fontId="78" fillId="0" borderId="34" xfId="0" applyFont="1" applyBorder="1"/>
    <xf numFmtId="3" fontId="78" fillId="0" borderId="34" xfId="0" applyNumberFormat="1" applyFont="1" applyBorder="1" applyAlignment="1">
      <alignment horizontal="right"/>
    </xf>
    <xf numFmtId="3" fontId="78" fillId="0" borderId="0" xfId="0" applyNumberFormat="1" applyFont="1"/>
    <xf numFmtId="3" fontId="92" fillId="0" borderId="0" xfId="0" applyNumberFormat="1" applyFont="1" applyAlignment="1" applyProtection="1">
      <alignment horizontal="right"/>
      <protection locked="0"/>
    </xf>
    <xf numFmtId="3" fontId="5" fillId="2" borderId="0" xfId="0" applyNumberFormat="1" applyFont="1" applyFill="1" applyAlignment="1">
      <alignment vertical="center"/>
    </xf>
    <xf numFmtId="0" fontId="94" fillId="54" borderId="0" xfId="0" applyFont="1" applyFill="1"/>
    <xf numFmtId="0" fontId="90" fillId="54" borderId="0" xfId="0" applyFont="1" applyFill="1"/>
    <xf numFmtId="0" fontId="95" fillId="54" borderId="0" xfId="0" applyFont="1" applyFill="1"/>
    <xf numFmtId="0" fontId="95" fillId="54" borderId="34" xfId="0" applyFont="1" applyFill="1" applyBorder="1"/>
    <xf numFmtId="0" fontId="9" fillId="54" borderId="0" xfId="0" applyFont="1" applyFill="1"/>
    <xf numFmtId="0" fontId="5" fillId="54" borderId="0" xfId="0" applyFont="1" applyFill="1"/>
    <xf numFmtId="0" fontId="9" fillId="2" borderId="0" xfId="0" applyFont="1" applyFill="1"/>
    <xf numFmtId="0" fontId="5" fillId="2" borderId="0" xfId="0" applyFont="1" applyFill="1"/>
    <xf numFmtId="0" fontId="9" fillId="2" borderId="0" xfId="0" applyFont="1" applyFill="1" applyAlignment="1">
      <alignment vertical="center"/>
    </xf>
    <xf numFmtId="0" fontId="9" fillId="2" borderId="0" xfId="0" applyFont="1" applyFill="1" applyAlignment="1">
      <alignment horizontal="right" vertical="center"/>
    </xf>
    <xf numFmtId="0" fontId="9" fillId="2" borderId="6" xfId="0" applyFont="1" applyFill="1" applyBorder="1" applyAlignment="1">
      <alignment horizontal="right" vertical="center" wrapText="1"/>
    </xf>
    <xf numFmtId="0" fontId="5" fillId="2" borderId="0" xfId="0" applyFont="1" applyFill="1" applyAlignment="1">
      <alignment vertical="center" wrapText="1"/>
    </xf>
    <xf numFmtId="3" fontId="5" fillId="2" borderId="0" xfId="0" applyNumberFormat="1" applyFont="1" applyFill="1" applyAlignment="1">
      <alignment horizontal="right" vertical="center" wrapText="1"/>
    </xf>
    <xf numFmtId="0" fontId="9" fillId="53" borderId="0" xfId="0" applyFont="1" applyFill="1" applyAlignment="1">
      <alignment vertical="center" wrapText="1"/>
    </xf>
    <xf numFmtId="0" fontId="9" fillId="53" borderId="0" xfId="0" applyFont="1" applyFill="1" applyAlignment="1">
      <alignment horizontal="right" vertical="center" wrapText="1"/>
    </xf>
    <xf numFmtId="1" fontId="9" fillId="53" borderId="0" xfId="0" applyNumberFormat="1" applyFont="1" applyFill="1" applyAlignment="1">
      <alignment horizontal="right" vertical="center" wrapText="1"/>
    </xf>
    <xf numFmtId="3" fontId="5" fillId="2" borderId="0" xfId="0" applyNumberFormat="1" applyFont="1" applyFill="1" applyAlignment="1">
      <alignment vertical="center" wrapText="1"/>
    </xf>
    <xf numFmtId="3" fontId="9" fillId="53" borderId="0" xfId="0" applyNumberFormat="1" applyFont="1" applyFill="1" applyAlignment="1">
      <alignment horizontal="right" vertical="center" wrapText="1"/>
    </xf>
    <xf numFmtId="173" fontId="9" fillId="53" borderId="0" xfId="0" applyNumberFormat="1" applyFont="1" applyFill="1" applyAlignment="1">
      <alignment horizontal="right" vertical="center" wrapText="1"/>
    </xf>
    <xf numFmtId="173" fontId="9" fillId="2" borderId="0" xfId="0" applyNumberFormat="1" applyFont="1" applyFill="1" applyAlignment="1">
      <alignment horizontal="right" vertical="center" wrapText="1"/>
    </xf>
    <xf numFmtId="0" fontId="5" fillId="2" borderId="0" xfId="0" applyFont="1" applyFill="1" applyAlignment="1">
      <alignment vertical="top" wrapText="1"/>
    </xf>
    <xf numFmtId="0" fontId="5" fillId="2" borderId="0" xfId="0" applyFont="1" applyFill="1" applyAlignment="1">
      <alignment horizontal="right" vertical="center" wrapText="1"/>
    </xf>
    <xf numFmtId="0" fontId="5" fillId="2" borderId="0" xfId="0" applyFont="1" applyFill="1" applyAlignment="1">
      <alignment vertical="center"/>
    </xf>
    <xf numFmtId="0" fontId="9" fillId="2" borderId="0" xfId="0" applyFont="1" applyFill="1" applyAlignment="1">
      <alignment horizontal="right" vertical="center" wrapText="1"/>
    </xf>
    <xf numFmtId="0" fontId="9" fillId="2" borderId="0" xfId="0" applyFont="1" applyFill="1" applyAlignment="1">
      <alignment vertical="center" wrapText="1"/>
    </xf>
    <xf numFmtId="170" fontId="9" fillId="2" borderId="0" xfId="1" applyNumberFormat="1" applyFont="1" applyFill="1" applyBorder="1" applyAlignment="1">
      <alignment vertical="center" wrapText="1"/>
    </xf>
    <xf numFmtId="3" fontId="9" fillId="53" borderId="0" xfId="0" applyNumberFormat="1" applyFont="1" applyFill="1" applyAlignment="1">
      <alignment vertical="center" wrapText="1"/>
    </xf>
    <xf numFmtId="3" fontId="9" fillId="2" borderId="0" xfId="0" applyNumberFormat="1" applyFont="1" applyFill="1" applyAlignment="1">
      <alignment vertical="center" wrapText="1"/>
    </xf>
    <xf numFmtId="0" fontId="9" fillId="0" borderId="0" xfId="0" applyFont="1"/>
    <xf numFmtId="172" fontId="9" fillId="2" borderId="0" xfId="0" applyNumberFormat="1" applyFont="1" applyFill="1" applyAlignment="1">
      <alignment vertical="center" wrapText="1"/>
    </xf>
    <xf numFmtId="2" fontId="9" fillId="53" borderId="0" xfId="0" applyNumberFormat="1" applyFont="1" applyFill="1" applyAlignment="1">
      <alignment horizontal="right" vertical="center" wrapText="1"/>
    </xf>
    <xf numFmtId="0" fontId="98" fillId="2" borderId="0" xfId="0" applyFont="1" applyFill="1"/>
    <xf numFmtId="0" fontId="98" fillId="55" borderId="0" xfId="0" applyFont="1" applyFill="1"/>
    <xf numFmtId="0" fontId="5" fillId="0" borderId="34" xfId="0" applyFont="1" applyBorder="1"/>
    <xf numFmtId="0" fontId="5" fillId="0" borderId="32" xfId="0" applyFont="1" applyBorder="1" applyAlignment="1">
      <alignment horizontal="right"/>
    </xf>
    <xf numFmtId="0" fontId="5" fillId="0" borderId="35" xfId="0" applyFont="1" applyBorder="1" applyAlignment="1">
      <alignment horizontal="right"/>
    </xf>
    <xf numFmtId="190" fontId="5" fillId="0" borderId="0" xfId="0" applyNumberFormat="1" applyFont="1" applyAlignment="1" applyProtection="1">
      <alignment horizontal="right"/>
      <protection locked="0"/>
    </xf>
    <xf numFmtId="173" fontId="5" fillId="0" borderId="0" xfId="0" applyNumberFormat="1" applyFont="1" applyAlignment="1">
      <alignment horizontal="right"/>
    </xf>
    <xf numFmtId="173" fontId="5" fillId="0" borderId="34" xfId="0" applyNumberFormat="1" applyFont="1" applyBorder="1" applyAlignment="1">
      <alignment horizontal="right"/>
    </xf>
    <xf numFmtId="191" fontId="5" fillId="0" borderId="0" xfId="0" applyNumberFormat="1" applyFont="1" applyAlignment="1" applyProtection="1">
      <alignment horizontal="right"/>
      <protection locked="0"/>
    </xf>
    <xf numFmtId="191" fontId="5" fillId="0" borderId="34" xfId="0" applyNumberFormat="1" applyFont="1" applyBorder="1" applyAlignment="1" applyProtection="1">
      <alignment horizontal="right"/>
      <protection locked="0"/>
    </xf>
    <xf numFmtId="191" fontId="5" fillId="3" borderId="0" xfId="0" applyNumberFormat="1" applyFont="1" applyFill="1" applyAlignment="1" applyProtection="1">
      <alignment horizontal="right"/>
      <protection locked="0"/>
    </xf>
    <xf numFmtId="190" fontId="5" fillId="3" borderId="0" xfId="0" applyNumberFormat="1" applyFont="1" applyFill="1" applyAlignment="1" applyProtection="1">
      <alignment horizontal="right"/>
      <protection locked="0"/>
    </xf>
    <xf numFmtId="191" fontId="5" fillId="3" borderId="34" xfId="0" applyNumberFormat="1" applyFont="1" applyFill="1" applyBorder="1" applyAlignment="1" applyProtection="1">
      <alignment horizontal="right"/>
      <protection locked="0"/>
    </xf>
    <xf numFmtId="192" fontId="5" fillId="0" borderId="0" xfId="0" applyNumberFormat="1" applyFont="1" applyAlignment="1" applyProtection="1">
      <alignment horizontal="right"/>
      <protection locked="0"/>
    </xf>
    <xf numFmtId="0" fontId="5" fillId="3" borderId="0" xfId="0" applyFont="1" applyFill="1"/>
    <xf numFmtId="2" fontId="5" fillId="0" borderId="0" xfId="0" applyNumberFormat="1" applyFont="1" applyAlignment="1">
      <alignment horizontal="right"/>
    </xf>
    <xf numFmtId="173" fontId="5" fillId="0" borderId="0" xfId="1" applyNumberFormat="1" applyFont="1" applyFill="1" applyBorder="1" applyAlignment="1" applyProtection="1">
      <alignment horizontal="right"/>
      <protection locked="0"/>
    </xf>
    <xf numFmtId="190" fontId="5" fillId="0" borderId="0" xfId="0" applyNumberFormat="1" applyFont="1"/>
    <xf numFmtId="193" fontId="5" fillId="0" borderId="0" xfId="0" applyNumberFormat="1" applyFont="1"/>
    <xf numFmtId="190" fontId="5" fillId="0" borderId="3" xfId="0" applyNumberFormat="1" applyFont="1" applyBorder="1"/>
    <xf numFmtId="0" fontId="82" fillId="0" borderId="0" xfId="0" quotePrefix="1" applyFont="1"/>
    <xf numFmtId="170" fontId="5" fillId="0" borderId="0" xfId="0" applyNumberFormat="1" applyFont="1"/>
    <xf numFmtId="0" fontId="5" fillId="0" borderId="0" xfId="0" quotePrefix="1" applyFont="1"/>
    <xf numFmtId="0" fontId="91" fillId="0" borderId="0" xfId="0" applyFont="1" applyAlignment="1">
      <alignment horizontal="right" vertical="center"/>
    </xf>
    <xf numFmtId="0" fontId="91" fillId="0" borderId="34" xfId="0" applyFont="1" applyBorder="1" applyAlignment="1">
      <alignment horizontal="right" vertical="center"/>
    </xf>
    <xf numFmtId="0" fontId="91" fillId="0" borderId="0" xfId="4" applyFont="1" applyAlignment="1" applyProtection="1">
      <alignment vertical="top" wrapText="1"/>
      <protection locked="0"/>
    </xf>
    <xf numFmtId="3" fontId="91" fillId="0" borderId="0" xfId="4" applyNumberFormat="1" applyFont="1" applyAlignment="1" applyProtection="1">
      <alignment horizontal="right" vertical="top" wrapText="1"/>
      <protection locked="0"/>
    </xf>
    <xf numFmtId="0" fontId="91" fillId="0" borderId="0" xfId="4" applyFont="1" applyAlignment="1">
      <alignment horizontal="right" vertical="top" wrapText="1"/>
    </xf>
    <xf numFmtId="0" fontId="91" fillId="0" borderId="34" xfId="4" applyFont="1" applyBorder="1" applyAlignment="1">
      <alignment horizontal="left" vertical="top" wrapText="1"/>
    </xf>
    <xf numFmtId="0" fontId="92" fillId="0" borderId="0" xfId="4" applyFont="1" applyAlignment="1" applyProtection="1">
      <alignment vertical="top" wrapText="1"/>
      <protection locked="0"/>
    </xf>
    <xf numFmtId="3" fontId="92" fillId="0" borderId="0" xfId="4" applyNumberFormat="1" applyFont="1" applyAlignment="1" applyProtection="1">
      <alignment horizontal="right" vertical="top" wrapText="1"/>
      <protection locked="0"/>
    </xf>
    <xf numFmtId="3" fontId="92" fillId="0" borderId="0" xfId="4" applyNumberFormat="1" applyFont="1" applyAlignment="1" applyProtection="1">
      <alignment horizontal="right" wrapText="1"/>
      <protection locked="0"/>
    </xf>
    <xf numFmtId="3" fontId="92" fillId="0" borderId="0" xfId="4" applyNumberFormat="1" applyFont="1" applyAlignment="1">
      <alignment horizontal="right" wrapText="1"/>
    </xf>
    <xf numFmtId="0" fontId="91" fillId="3" borderId="0" xfId="4" applyFont="1" applyFill="1" applyAlignment="1" applyProtection="1">
      <alignment vertical="top" wrapText="1"/>
      <protection locked="0"/>
    </xf>
    <xf numFmtId="3" fontId="91" fillId="3" borderId="34" xfId="4" applyNumberFormat="1" applyFont="1" applyFill="1" applyBorder="1" applyAlignment="1" applyProtection="1">
      <alignment horizontal="right" vertical="top" wrapText="1"/>
      <protection locked="0"/>
    </xf>
    <xf numFmtId="0" fontId="91" fillId="2" borderId="0" xfId="4" applyFont="1" applyFill="1" applyAlignment="1" applyProtection="1">
      <alignment vertical="top" wrapText="1"/>
      <protection locked="0"/>
    </xf>
    <xf numFmtId="3" fontId="91" fillId="2" borderId="34" xfId="4" applyNumberFormat="1" applyFont="1" applyFill="1" applyBorder="1" applyAlignment="1" applyProtection="1">
      <alignment horizontal="right" vertical="top" wrapText="1"/>
      <protection locked="0"/>
    </xf>
    <xf numFmtId="3" fontId="91" fillId="0" borderId="0" xfId="4" applyNumberFormat="1" applyFont="1" applyAlignment="1">
      <alignment horizontal="right" vertical="top" wrapText="1"/>
    </xf>
    <xf numFmtId="3" fontId="92" fillId="0" borderId="34" xfId="4" applyNumberFormat="1" applyFont="1" applyBorder="1" applyAlignment="1" applyProtection="1">
      <alignment horizontal="right" vertical="center" wrapText="1"/>
      <protection locked="0"/>
    </xf>
    <xf numFmtId="3" fontId="92" fillId="0" borderId="34" xfId="4" applyNumberFormat="1" applyFont="1" applyBorder="1" applyAlignment="1">
      <alignment horizontal="right" vertical="top" wrapText="1"/>
    </xf>
    <xf numFmtId="3" fontId="92" fillId="0" borderId="0" xfId="4" applyNumberFormat="1" applyFont="1" applyProtection="1">
      <protection locked="0"/>
    </xf>
    <xf numFmtId="3" fontId="91" fillId="3" borderId="34" xfId="4" applyNumberFormat="1" applyFont="1" applyFill="1" applyBorder="1" applyAlignment="1">
      <alignment horizontal="right" vertical="top" wrapText="1"/>
    </xf>
    <xf numFmtId="3" fontId="91" fillId="2" borderId="34" xfId="4" applyNumberFormat="1" applyFont="1" applyFill="1" applyBorder="1" applyAlignment="1">
      <alignment horizontal="right" vertical="top" wrapText="1"/>
    </xf>
    <xf numFmtId="3" fontId="92" fillId="0" borderId="34" xfId="2" applyNumberFormat="1" applyFont="1" applyFill="1" applyBorder="1" applyAlignment="1">
      <alignment horizontal="right" vertical="top" wrapText="1"/>
    </xf>
    <xf numFmtId="3" fontId="92" fillId="0" borderId="34" xfId="4" applyNumberFormat="1" applyFont="1" applyBorder="1" applyAlignment="1">
      <alignment horizontal="left" vertical="top" wrapText="1"/>
    </xf>
    <xf numFmtId="3" fontId="92" fillId="0" borderId="0" xfId="10" applyNumberFormat="1" applyFont="1" applyAlignment="1" applyProtection="1">
      <alignment horizontal="right" vertical="top" wrapText="1"/>
      <protection locked="0"/>
    </xf>
    <xf numFmtId="3" fontId="92" fillId="0" borderId="34" xfId="10" applyNumberFormat="1" applyFont="1" applyBorder="1" applyAlignment="1" applyProtection="1">
      <alignment horizontal="left" vertical="top" wrapText="1"/>
      <protection locked="0"/>
    </xf>
    <xf numFmtId="0" fontId="93" fillId="0" borderId="0" xfId="0" quotePrefix="1" applyFont="1" applyAlignment="1" applyProtection="1">
      <alignment vertical="center"/>
      <protection locked="0"/>
    </xf>
    <xf numFmtId="0" fontId="93" fillId="0" borderId="34" xfId="0" quotePrefix="1" applyFont="1" applyBorder="1" applyAlignment="1" applyProtection="1">
      <alignment vertical="center"/>
      <protection locked="0"/>
    </xf>
    <xf numFmtId="4" fontId="78" fillId="0" borderId="0" xfId="0" applyNumberFormat="1" applyFont="1"/>
    <xf numFmtId="2" fontId="78" fillId="0" borderId="0" xfId="0" applyNumberFormat="1" applyFont="1" applyAlignment="1">
      <alignment horizontal="right"/>
    </xf>
    <xf numFmtId="0" fontId="78" fillId="0" borderId="0" xfId="0" applyFont="1" applyAlignment="1">
      <alignment horizontal="right"/>
    </xf>
    <xf numFmtId="3" fontId="92" fillId="0" borderId="34" xfId="0" applyNumberFormat="1" applyFont="1" applyBorder="1" applyAlignment="1" applyProtection="1">
      <alignment horizontal="right"/>
      <protection locked="0"/>
    </xf>
    <xf numFmtId="173" fontId="78" fillId="0" borderId="0" xfId="0" applyNumberFormat="1" applyFont="1" applyAlignment="1">
      <alignment horizontal="right"/>
    </xf>
    <xf numFmtId="172" fontId="92" fillId="0" borderId="0" xfId="0" applyNumberFormat="1" applyFont="1" applyAlignment="1" applyProtection="1">
      <alignment horizontal="right" vertical="center"/>
      <protection locked="0"/>
    </xf>
    <xf numFmtId="172" fontId="92" fillId="0" borderId="34" xfId="0" applyNumberFormat="1" applyFont="1" applyBorder="1" applyAlignment="1" applyProtection="1">
      <alignment horizontal="right" vertical="center"/>
      <protection locked="0"/>
    </xf>
    <xf numFmtId="172" fontId="78" fillId="0" borderId="0" xfId="0" applyNumberFormat="1" applyFont="1"/>
    <xf numFmtId="173" fontId="78" fillId="0" borderId="0" xfId="0" applyNumberFormat="1" applyFont="1"/>
    <xf numFmtId="173" fontId="78" fillId="0" borderId="34" xfId="0" applyNumberFormat="1" applyFont="1" applyBorder="1"/>
    <xf numFmtId="173" fontId="78" fillId="2" borderId="0" xfId="0" applyNumberFormat="1" applyFont="1" applyFill="1"/>
    <xf numFmtId="172" fontId="78" fillId="2" borderId="0" xfId="0" applyNumberFormat="1" applyFont="1" applyFill="1"/>
    <xf numFmtId="0" fontId="99" fillId="55" borderId="0" xfId="0" applyFont="1" applyFill="1"/>
    <xf numFmtId="0" fontId="5" fillId="54" borderId="34" xfId="0" applyFont="1" applyFill="1" applyBorder="1"/>
    <xf numFmtId="0" fontId="5" fillId="2" borderId="34" xfId="0" applyFont="1" applyFill="1" applyBorder="1"/>
    <xf numFmtId="3" fontId="5" fillId="2" borderId="34" xfId="0" applyNumberFormat="1" applyFont="1" applyFill="1" applyBorder="1" applyAlignment="1">
      <alignment horizontal="right" vertical="center" wrapText="1"/>
    </xf>
    <xf numFmtId="1" fontId="9" fillId="53" borderId="34" xfId="0" applyNumberFormat="1" applyFont="1" applyFill="1" applyBorder="1" applyAlignment="1">
      <alignment horizontal="right" vertical="center" wrapText="1"/>
    </xf>
    <xf numFmtId="3" fontId="5" fillId="2" borderId="34" xfId="0" applyNumberFormat="1" applyFont="1" applyFill="1" applyBorder="1" applyAlignment="1">
      <alignment vertical="center" wrapText="1"/>
    </xf>
    <xf numFmtId="3" fontId="9" fillId="53" borderId="34" xfId="0" applyNumberFormat="1" applyFont="1" applyFill="1" applyBorder="1" applyAlignment="1">
      <alignment horizontal="right" vertical="center" wrapText="1"/>
    </xf>
    <xf numFmtId="173" fontId="9" fillId="53" borderId="34" xfId="0" applyNumberFormat="1" applyFont="1" applyFill="1" applyBorder="1" applyAlignment="1">
      <alignment horizontal="right" vertical="center" wrapText="1"/>
    </xf>
    <xf numFmtId="0" fontId="5" fillId="2" borderId="34" xfId="0" applyFont="1" applyFill="1" applyBorder="1" applyAlignment="1">
      <alignment vertical="center" wrapText="1"/>
    </xf>
    <xf numFmtId="3" fontId="5" fillId="2" borderId="34" xfId="0" applyNumberFormat="1" applyFont="1" applyFill="1" applyBorder="1" applyAlignment="1">
      <alignment vertical="center"/>
    </xf>
    <xf numFmtId="0" fontId="9" fillId="2" borderId="34" xfId="0" applyFont="1" applyFill="1" applyBorder="1" applyAlignment="1">
      <alignment horizontal="right" vertical="center"/>
    </xf>
    <xf numFmtId="3" fontId="9" fillId="53" borderId="34" xfId="0" applyNumberFormat="1" applyFont="1" applyFill="1" applyBorder="1" applyAlignment="1">
      <alignment vertical="center" wrapText="1"/>
    </xf>
    <xf numFmtId="172" fontId="9" fillId="2" borderId="34" xfId="0" applyNumberFormat="1" applyFont="1" applyFill="1" applyBorder="1" applyAlignment="1">
      <alignment vertical="center" wrapText="1"/>
    </xf>
    <xf numFmtId="2" fontId="9" fillId="53" borderId="34" xfId="0" applyNumberFormat="1" applyFont="1" applyFill="1" applyBorder="1" applyAlignment="1">
      <alignment horizontal="right" vertical="center" wrapText="1"/>
    </xf>
    <xf numFmtId="3" fontId="5" fillId="2" borderId="36" xfId="0" applyNumberFormat="1" applyFont="1" applyFill="1" applyBorder="1" applyAlignment="1">
      <alignment horizontal="right" vertical="center"/>
    </xf>
    <xf numFmtId="0" fontId="9" fillId="2" borderId="34" xfId="0" applyFont="1" applyFill="1" applyBorder="1" applyAlignment="1">
      <alignment vertical="center" wrapText="1"/>
    </xf>
    <xf numFmtId="0" fontId="5" fillId="2" borderId="34" xfId="0" applyFont="1" applyFill="1" applyBorder="1" applyAlignment="1">
      <alignment horizontal="right" vertical="center" wrapText="1"/>
    </xf>
    <xf numFmtId="3" fontId="5" fillId="0" borderId="34" xfId="0" applyNumberFormat="1" applyFont="1" applyBorder="1"/>
    <xf numFmtId="3" fontId="5" fillId="0" borderId="34" xfId="0" quotePrefix="1" applyNumberFormat="1" applyFont="1" applyBorder="1" applyAlignment="1">
      <alignment vertical="top" wrapText="1"/>
    </xf>
    <xf numFmtId="3" fontId="5" fillId="0" borderId="34" xfId="0" applyNumberFormat="1" applyFont="1" applyBorder="1" applyAlignment="1">
      <alignment vertical="top" wrapText="1"/>
    </xf>
    <xf numFmtId="3" fontId="9" fillId="3" borderId="34" xfId="0" applyNumberFormat="1" applyFont="1" applyFill="1" applyBorder="1" applyAlignment="1">
      <alignment vertical="top" wrapText="1"/>
    </xf>
    <xf numFmtId="3" fontId="5" fillId="0" borderId="34" xfId="0" applyNumberFormat="1" applyFont="1" applyBorder="1" applyAlignment="1">
      <alignment horizontal="right" vertical="top" wrapText="1"/>
    </xf>
    <xf numFmtId="3" fontId="5" fillId="0" borderId="34" xfId="5" applyNumberFormat="1" applyFont="1" applyBorder="1" applyAlignment="1">
      <alignment vertical="top" wrapText="1"/>
    </xf>
    <xf numFmtId="3" fontId="82" fillId="0" borderId="34" xfId="0" applyNumberFormat="1" applyFont="1" applyBorder="1"/>
    <xf numFmtId="0" fontId="0" fillId="2" borderId="0" xfId="0" applyFill="1"/>
    <xf numFmtId="0" fontId="103" fillId="0" borderId="0" xfId="0" applyFont="1"/>
    <xf numFmtId="0" fontId="104" fillId="54" borderId="0" xfId="0" applyFont="1" applyFill="1"/>
    <xf numFmtId="3" fontId="100" fillId="0" borderId="0" xfId="0" applyNumberFormat="1" applyFont="1" applyAlignment="1">
      <alignment vertical="top" wrapText="1"/>
    </xf>
    <xf numFmtId="3" fontId="102" fillId="0" borderId="0" xfId="0" applyNumberFormat="1" applyFont="1" applyAlignment="1" applyProtection="1">
      <alignment vertical="top" wrapText="1"/>
      <protection locked="0"/>
    </xf>
    <xf numFmtId="3" fontId="101" fillId="0" borderId="0" xfId="0" applyNumberFormat="1" applyFont="1" applyAlignment="1">
      <alignment vertical="top" wrapText="1"/>
    </xf>
    <xf numFmtId="3" fontId="105" fillId="0" borderId="0" xfId="0" applyNumberFormat="1" applyFont="1" applyAlignment="1">
      <alignment vertical="top" wrapText="1"/>
    </xf>
    <xf numFmtId="3" fontId="92" fillId="0" borderId="0" xfId="0" applyNumberFormat="1" applyFont="1" applyAlignment="1">
      <alignment vertical="top" wrapText="1"/>
    </xf>
    <xf numFmtId="3" fontId="91" fillId="3" borderId="0" xfId="0" applyNumberFormat="1" applyFont="1" applyFill="1" applyAlignment="1">
      <alignment vertical="top" wrapText="1"/>
    </xf>
    <xf numFmtId="3" fontId="92" fillId="0" borderId="0" xfId="0" applyNumberFormat="1" applyFont="1" applyAlignment="1">
      <alignment horizontal="right" vertical="top" wrapText="1"/>
    </xf>
    <xf numFmtId="3" fontId="92" fillId="0" borderId="0" xfId="5" applyNumberFormat="1" applyFont="1" applyAlignment="1">
      <alignment vertical="top" wrapText="1"/>
    </xf>
    <xf numFmtId="3" fontId="91" fillId="0" borderId="0" xfId="0" applyNumberFormat="1" applyFont="1" applyAlignment="1" applyProtection="1">
      <alignment vertical="top" wrapText="1"/>
      <protection locked="0"/>
    </xf>
    <xf numFmtId="9" fontId="82" fillId="0" borderId="0" xfId="1" applyFont="1" applyBorder="1"/>
    <xf numFmtId="173" fontId="82" fillId="0" borderId="0" xfId="0" applyNumberFormat="1" applyFont="1"/>
    <xf numFmtId="9" fontId="87" fillId="0" borderId="0" xfId="1" applyFont="1" applyFill="1" applyBorder="1" applyAlignment="1">
      <alignment vertical="center"/>
    </xf>
    <xf numFmtId="3" fontId="80" fillId="3" borderId="0" xfId="0" applyNumberFormat="1" applyFont="1" applyFill="1"/>
    <xf numFmtId="3" fontId="91" fillId="3" borderId="0" xfId="4" applyNumberFormat="1" applyFont="1" applyFill="1" applyAlignment="1" applyProtection="1">
      <alignment horizontal="right" vertical="top" wrapText="1"/>
      <protection locked="0"/>
    </xf>
    <xf numFmtId="3" fontId="91" fillId="2" borderId="0" xfId="4" applyNumberFormat="1" applyFont="1" applyFill="1" applyAlignment="1" applyProtection="1">
      <alignment horizontal="right" vertical="top" wrapText="1"/>
      <protection locked="0"/>
    </xf>
    <xf numFmtId="3" fontId="92" fillId="0" borderId="0" xfId="4" applyNumberFormat="1" applyFont="1" applyAlignment="1" applyProtection="1">
      <alignment horizontal="right" vertical="center" wrapText="1"/>
      <protection locked="0"/>
    </xf>
    <xf numFmtId="3" fontId="92" fillId="0" borderId="0" xfId="4" applyNumberFormat="1" applyFont="1" applyAlignment="1">
      <alignment horizontal="right" vertical="top" wrapText="1"/>
    </xf>
    <xf numFmtId="3" fontId="91" fillId="3" borderId="0" xfId="4" applyNumberFormat="1" applyFont="1" applyFill="1" applyAlignment="1">
      <alignment horizontal="right" vertical="top" wrapText="1"/>
    </xf>
    <xf numFmtId="3" fontId="92" fillId="0" borderId="0" xfId="2" applyNumberFormat="1" applyFont="1" applyFill="1" applyBorder="1" applyAlignment="1">
      <alignment horizontal="right" vertical="top" wrapText="1"/>
    </xf>
    <xf numFmtId="3" fontId="91" fillId="2" borderId="0" xfId="4" applyNumberFormat="1" applyFont="1" applyFill="1" applyAlignment="1">
      <alignment horizontal="right" vertical="top" wrapText="1"/>
    </xf>
    <xf numFmtId="9" fontId="87" fillId="2" borderId="0" xfId="1" applyFont="1" applyFill="1" applyBorder="1" applyAlignment="1">
      <alignment vertical="center"/>
    </xf>
    <xf numFmtId="0" fontId="7" fillId="54" borderId="0" xfId="0" applyFont="1" applyFill="1" applyAlignment="1">
      <alignment horizontal="left"/>
    </xf>
    <xf numFmtId="0" fontId="106" fillId="54" borderId="0" xfId="0" applyFont="1" applyFill="1"/>
    <xf numFmtId="0" fontId="82" fillId="54" borderId="0" xfId="0" applyFont="1" applyFill="1"/>
    <xf numFmtId="0" fontId="82" fillId="54" borderId="34" xfId="0" applyFont="1" applyFill="1" applyBorder="1"/>
    <xf numFmtId="0" fontId="106" fillId="0" borderId="0" xfId="0" applyFont="1" applyAlignment="1">
      <alignment vertical="center"/>
    </xf>
    <xf numFmtId="0" fontId="106" fillId="0" borderId="0" xfId="0" applyFont="1" applyAlignment="1">
      <alignment horizontal="right" vertical="center"/>
    </xf>
    <xf numFmtId="0" fontId="106" fillId="0" borderId="34" xfId="0" applyFont="1" applyBorder="1" applyAlignment="1">
      <alignment horizontal="right" vertical="center"/>
    </xf>
    <xf numFmtId="0" fontId="82" fillId="0" borderId="32" xfId="0" applyFont="1" applyBorder="1"/>
    <xf numFmtId="0" fontId="106" fillId="0" borderId="32" xfId="0" applyFont="1" applyBorder="1" applyAlignment="1">
      <alignment horizontal="right" vertical="center"/>
    </xf>
    <xf numFmtId="0" fontId="106" fillId="0" borderId="35" xfId="0" applyFont="1" applyBorder="1" applyAlignment="1">
      <alignment horizontal="right" vertical="center"/>
    </xf>
    <xf numFmtId="0" fontId="82" fillId="0" borderId="0" xfId="0" applyFont="1" applyAlignment="1">
      <alignment vertical="center"/>
    </xf>
    <xf numFmtId="3" fontId="82" fillId="0" borderId="0" xfId="0" applyNumberFormat="1" applyFont="1" applyAlignment="1">
      <alignment vertical="center"/>
    </xf>
    <xf numFmtId="3" fontId="82" fillId="0" borderId="34" xfId="0" applyNumberFormat="1" applyFont="1" applyBorder="1" applyAlignment="1">
      <alignment vertical="center"/>
    </xf>
    <xf numFmtId="0" fontId="87" fillId="0" borderId="0" xfId="0" applyFont="1" applyAlignment="1">
      <alignment vertical="center"/>
    </xf>
    <xf numFmtId="3" fontId="87" fillId="0" borderId="0" xfId="1" applyNumberFormat="1" applyFont="1" applyFill="1" applyBorder="1" applyAlignment="1">
      <alignment horizontal="right" vertical="center"/>
    </xf>
    <xf numFmtId="3" fontId="87" fillId="0" borderId="34" xfId="1" applyNumberFormat="1" applyFont="1" applyFill="1" applyBorder="1" applyAlignment="1">
      <alignment horizontal="right" vertical="center"/>
    </xf>
    <xf numFmtId="3" fontId="87" fillId="0" borderId="0" xfId="1" quotePrefix="1" applyNumberFormat="1" applyFont="1" applyFill="1" applyBorder="1" applyAlignment="1">
      <alignment horizontal="right" vertical="center"/>
    </xf>
    <xf numFmtId="3" fontId="87" fillId="0" borderId="34" xfId="1" quotePrefix="1" applyNumberFormat="1" applyFont="1" applyFill="1" applyBorder="1" applyAlignment="1">
      <alignment horizontal="right" vertical="center"/>
    </xf>
    <xf numFmtId="0" fontId="106" fillId="3" borderId="0" xfId="0" applyFont="1" applyFill="1" applyAlignment="1">
      <alignment vertical="center"/>
    </xf>
    <xf numFmtId="3" fontId="106" fillId="3" borderId="0" xfId="0" applyNumberFormat="1" applyFont="1" applyFill="1" applyAlignment="1">
      <alignment vertical="center"/>
    </xf>
    <xf numFmtId="3" fontId="106" fillId="3" borderId="34" xfId="0" applyNumberFormat="1" applyFont="1" applyFill="1" applyBorder="1" applyAlignment="1">
      <alignment vertical="center"/>
    </xf>
    <xf numFmtId="3" fontId="106" fillId="0" borderId="0" xfId="0" applyNumberFormat="1" applyFont="1" applyAlignment="1">
      <alignment vertical="center"/>
    </xf>
    <xf numFmtId="3" fontId="106" fillId="0" borderId="34" xfId="0" applyNumberFormat="1" applyFont="1" applyBorder="1" applyAlignment="1">
      <alignment vertical="center"/>
    </xf>
    <xf numFmtId="0" fontId="106" fillId="0" borderId="0" xfId="0" applyFont="1" applyAlignment="1">
      <alignment horizontal="left" vertical="center"/>
    </xf>
    <xf numFmtId="9" fontId="106" fillId="0" borderId="0" xfId="1" applyFont="1" applyFill="1" applyBorder="1" applyAlignment="1">
      <alignment vertical="center"/>
    </xf>
    <xf numFmtId="3" fontId="82" fillId="2" borderId="0" xfId="0" applyNumberFormat="1" applyFont="1" applyFill="1" applyAlignment="1">
      <alignment vertical="center"/>
    </xf>
    <xf numFmtId="3" fontId="82" fillId="2" borderId="34" xfId="0" applyNumberFormat="1" applyFont="1" applyFill="1" applyBorder="1" applyAlignment="1">
      <alignment vertical="center"/>
    </xf>
    <xf numFmtId="3" fontId="106" fillId="0" borderId="0" xfId="0" applyNumberFormat="1" applyFont="1" applyAlignment="1">
      <alignment horizontal="right" vertical="center"/>
    </xf>
    <xf numFmtId="170" fontId="106" fillId="0" borderId="0" xfId="1" applyNumberFormat="1" applyFont="1" applyFill="1" applyBorder="1" applyAlignment="1">
      <alignment horizontal="right" vertical="center"/>
    </xf>
    <xf numFmtId="3" fontId="106" fillId="0" borderId="34" xfId="0" applyNumberFormat="1" applyFont="1" applyBorder="1" applyAlignment="1">
      <alignment horizontal="right" vertical="center"/>
    </xf>
    <xf numFmtId="170" fontId="82" fillId="0" borderId="0" xfId="1" applyNumberFormat="1" applyFont="1" applyFill="1" applyBorder="1" applyAlignment="1">
      <alignment horizontal="right" vertical="center"/>
    </xf>
    <xf numFmtId="170" fontId="82" fillId="2" borderId="0" xfId="1" applyNumberFormat="1" applyFont="1" applyFill="1" applyBorder="1" applyAlignment="1">
      <alignment horizontal="right" vertical="center"/>
    </xf>
    <xf numFmtId="170" fontId="82" fillId="0" borderId="34" xfId="1" applyNumberFormat="1" applyFont="1" applyFill="1" applyBorder="1" applyAlignment="1">
      <alignment horizontal="right" vertical="center"/>
    </xf>
    <xf numFmtId="170" fontId="82" fillId="0" borderId="0" xfId="1" quotePrefix="1" applyNumberFormat="1" applyFont="1" applyFill="1" applyBorder="1" applyAlignment="1">
      <alignment horizontal="right" vertical="center"/>
    </xf>
    <xf numFmtId="170" fontId="82" fillId="0" borderId="34" xfId="1" quotePrefix="1" applyNumberFormat="1" applyFont="1" applyFill="1" applyBorder="1" applyAlignment="1">
      <alignment horizontal="right" vertical="center"/>
    </xf>
    <xf numFmtId="170" fontId="106" fillId="3" borderId="0" xfId="1" applyNumberFormat="1" applyFont="1" applyFill="1" applyBorder="1" applyAlignment="1">
      <alignment vertical="center"/>
    </xf>
    <xf numFmtId="170" fontId="106" fillId="3" borderId="34" xfId="1" applyNumberFormat="1" applyFont="1" applyFill="1" applyBorder="1" applyAlignment="1">
      <alignment vertical="center"/>
    </xf>
    <xf numFmtId="170" fontId="106" fillId="0" borderId="0" xfId="1" applyNumberFormat="1" applyFont="1" applyFill="1" applyBorder="1" applyAlignment="1">
      <alignment vertical="center"/>
    </xf>
    <xf numFmtId="170" fontId="106" fillId="0" borderId="34" xfId="1" applyNumberFormat="1" applyFont="1" applyFill="1" applyBorder="1" applyAlignment="1">
      <alignment vertical="center"/>
    </xf>
    <xf numFmtId="0" fontId="82" fillId="0" borderId="0" xfId="0" applyFont="1" applyAlignment="1">
      <alignment horizontal="right" vertical="center"/>
    </xf>
    <xf numFmtId="0" fontId="82" fillId="0" borderId="34" xfId="0" applyFont="1" applyBorder="1" applyAlignment="1">
      <alignment horizontal="right" vertical="center"/>
    </xf>
    <xf numFmtId="0" fontId="82" fillId="0" borderId="0" xfId="0" quotePrefix="1" applyFont="1" applyAlignment="1">
      <alignment horizontal="right" vertical="center"/>
    </xf>
    <xf numFmtId="0" fontId="82" fillId="0" borderId="0" xfId="0" applyFont="1" applyAlignment="1">
      <alignment vertical="top" wrapText="1"/>
    </xf>
    <xf numFmtId="3" fontId="106" fillId="3" borderId="0" xfId="0" applyNumberFormat="1" applyFont="1" applyFill="1" applyAlignment="1">
      <alignment horizontal="right" vertical="center"/>
    </xf>
    <xf numFmtId="170" fontId="82" fillId="0" borderId="0" xfId="1" applyNumberFormat="1" applyFont="1" applyFill="1" applyBorder="1" applyAlignment="1">
      <alignment vertical="center"/>
    </xf>
    <xf numFmtId="170" fontId="82" fillId="0" borderId="34" xfId="1" applyNumberFormat="1" applyFont="1" applyFill="1" applyBorder="1" applyAlignment="1">
      <alignment vertical="center"/>
    </xf>
    <xf numFmtId="170" fontId="82" fillId="0" borderId="0" xfId="0" applyNumberFormat="1" applyFont="1" applyAlignment="1">
      <alignment horizontal="right" vertical="center"/>
    </xf>
    <xf numFmtId="170" fontId="82" fillId="0" borderId="32" xfId="1" applyNumberFormat="1" applyFont="1" applyFill="1" applyBorder="1" applyAlignment="1">
      <alignment horizontal="right" vertical="center"/>
    </xf>
    <xf numFmtId="170" fontId="82" fillId="0" borderId="32" xfId="0" applyNumberFormat="1" applyFont="1" applyBorder="1" applyAlignment="1">
      <alignment horizontal="right" vertical="center"/>
    </xf>
    <xf numFmtId="170" fontId="82" fillId="0" borderId="35" xfId="1" applyNumberFormat="1" applyFont="1" applyFill="1" applyBorder="1" applyAlignment="1">
      <alignment horizontal="right" vertical="center"/>
    </xf>
    <xf numFmtId="0" fontId="82" fillId="0" borderId="0" xfId="0" applyFont="1" applyAlignment="1">
      <alignment horizontal="right" vertical="center" wrapText="1"/>
    </xf>
    <xf numFmtId="0" fontId="82" fillId="0" borderId="0" xfId="0" applyFont="1" applyAlignment="1">
      <alignment vertical="center" wrapText="1"/>
    </xf>
    <xf numFmtId="0" fontId="82" fillId="0" borderId="34" xfId="0" applyFont="1" applyBorder="1" applyAlignment="1">
      <alignment vertical="center" wrapText="1"/>
    </xf>
    <xf numFmtId="1" fontId="82" fillId="0" borderId="0" xfId="0" applyNumberFormat="1" applyFont="1" applyAlignment="1">
      <alignment horizontal="right" vertical="center"/>
    </xf>
    <xf numFmtId="9" fontId="82" fillId="2" borderId="0" xfId="1" applyFont="1" applyFill="1" applyBorder="1" applyAlignment="1">
      <alignment vertical="center"/>
    </xf>
    <xf numFmtId="9" fontId="82" fillId="0" borderId="0" xfId="1" applyFont="1" applyFill="1" applyBorder="1" applyAlignment="1">
      <alignment vertical="center"/>
    </xf>
    <xf numFmtId="9" fontId="82" fillId="0" borderId="34" xfId="1" applyFont="1" applyFill="1" applyBorder="1" applyAlignment="1">
      <alignment vertical="center"/>
    </xf>
    <xf numFmtId="3" fontId="82" fillId="2" borderId="0" xfId="0" applyNumberFormat="1" applyFont="1" applyFill="1"/>
    <xf numFmtId="3" fontId="82" fillId="58" borderId="0" xfId="0" applyNumberFormat="1" applyFont="1" applyFill="1" applyAlignment="1">
      <alignment vertical="center"/>
    </xf>
    <xf numFmtId="3" fontId="82" fillId="58" borderId="34" xfId="0" applyNumberFormat="1" applyFont="1" applyFill="1" applyBorder="1" applyAlignment="1">
      <alignment vertical="center"/>
    </xf>
    <xf numFmtId="0" fontId="7" fillId="0" borderId="0" xfId="0" applyFont="1"/>
    <xf numFmtId="0" fontId="9" fillId="0" borderId="0" xfId="0" applyFont="1" applyAlignment="1">
      <alignment horizontal="center"/>
    </xf>
    <xf numFmtId="0" fontId="9" fillId="0" borderId="32" xfId="0" applyFont="1" applyBorder="1" applyAlignment="1">
      <alignment horizontal="center"/>
    </xf>
    <xf numFmtId="0" fontId="9" fillId="0" borderId="32" xfId="0" applyFont="1" applyBorder="1" applyAlignment="1">
      <alignment horizontal="right" wrapText="1"/>
    </xf>
    <xf numFmtId="0" fontId="7" fillId="3" borderId="0" xfId="0" applyFont="1" applyFill="1"/>
    <xf numFmtId="3" fontId="5" fillId="0" borderId="0" xfId="0" applyNumberFormat="1" applyFont="1"/>
    <xf numFmtId="9" fontId="79" fillId="0" borderId="0" xfId="1" applyFont="1" applyBorder="1"/>
    <xf numFmtId="9" fontId="5" fillId="0" borderId="0" xfId="1" applyFont="1" applyBorder="1"/>
    <xf numFmtId="9" fontId="5" fillId="0" borderId="3" xfId="1" applyFont="1" applyBorder="1"/>
    <xf numFmtId="9" fontId="5" fillId="0" borderId="34" xfId="1" applyFont="1" applyBorder="1"/>
    <xf numFmtId="3" fontId="5" fillId="0" borderId="3" xfId="0" applyNumberFormat="1" applyFont="1" applyBorder="1"/>
    <xf numFmtId="0" fontId="5" fillId="0" borderId="3" xfId="0" applyFont="1" applyBorder="1"/>
    <xf numFmtId="9" fontId="5" fillId="0" borderId="0" xfId="1" applyFont="1" applyFill="1" applyBorder="1"/>
    <xf numFmtId="3" fontId="9" fillId="3" borderId="0" xfId="0" applyNumberFormat="1" applyFont="1" applyFill="1"/>
    <xf numFmtId="3" fontId="9" fillId="3" borderId="34" xfId="0" applyNumberFormat="1" applyFont="1" applyFill="1" applyBorder="1"/>
    <xf numFmtId="3" fontId="9" fillId="3" borderId="3" xfId="0" applyNumberFormat="1" applyFont="1" applyFill="1" applyBorder="1"/>
    <xf numFmtId="0" fontId="5" fillId="54" borderId="0" xfId="0" applyFont="1" applyFill="1" applyAlignment="1">
      <alignment horizontal="right"/>
    </xf>
    <xf numFmtId="0" fontId="5" fillId="2" borderId="0" xfId="0" applyFont="1" applyFill="1" applyAlignment="1">
      <alignment horizontal="right"/>
    </xf>
    <xf numFmtId="172" fontId="9" fillId="2" borderId="0" xfId="0" applyNumberFormat="1" applyFont="1" applyFill="1" applyAlignment="1">
      <alignment horizontal="right" vertical="center" wrapText="1"/>
    </xf>
    <xf numFmtId="0" fontId="92" fillId="2" borderId="0" xfId="0" applyFont="1" applyFill="1"/>
    <xf numFmtId="0" fontId="92" fillId="2" borderId="0" xfId="0" applyFont="1" applyFill="1" applyAlignment="1">
      <alignment horizontal="left"/>
    </xf>
    <xf numFmtId="0" fontId="93" fillId="2" borderId="0" xfId="0" applyFont="1" applyFill="1" applyAlignment="1">
      <alignment horizontal="left"/>
    </xf>
    <xf numFmtId="0" fontId="5" fillId="2" borderId="0" xfId="0" applyFont="1" applyFill="1" applyAlignment="1">
      <alignment horizontal="left"/>
    </xf>
    <xf numFmtId="0" fontId="9" fillId="2" borderId="32" xfId="0" applyFont="1" applyFill="1" applyBorder="1" applyAlignment="1">
      <alignment horizontal="left" vertical="center"/>
    </xf>
    <xf numFmtId="0" fontId="9" fillId="2" borderId="32" xfId="0" applyFont="1" applyFill="1" applyBorder="1" applyAlignment="1">
      <alignment horizontal="right" vertical="center"/>
    </xf>
    <xf numFmtId="0" fontId="5" fillId="2" borderId="0" xfId="4" applyFont="1" applyFill="1" applyAlignment="1">
      <alignment vertical="top" wrapText="1"/>
    </xf>
    <xf numFmtId="3" fontId="5" fillId="2" borderId="0" xfId="0" applyNumberFormat="1" applyFont="1" applyFill="1" applyAlignment="1" applyProtection="1">
      <alignment vertical="top" wrapText="1"/>
      <protection locked="0"/>
    </xf>
    <xf numFmtId="0" fontId="9" fillId="59" borderId="0" xfId="4" applyFont="1" applyFill="1" applyAlignment="1">
      <alignment vertical="top" wrapText="1"/>
    </xf>
    <xf numFmtId="0" fontId="92" fillId="2" borderId="0" xfId="4" applyFont="1" applyFill="1" applyAlignment="1">
      <alignment vertical="top" wrapText="1"/>
    </xf>
    <xf numFmtId="9" fontId="5" fillId="2" borderId="0" xfId="1" applyFont="1" applyFill="1" applyBorder="1" applyAlignment="1" applyProtection="1">
      <alignment vertical="top" wrapText="1"/>
      <protection locked="0"/>
    </xf>
    <xf numFmtId="49" fontId="5" fillId="2" borderId="0" xfId="4" applyNumberFormat="1" applyFont="1" applyFill="1" applyAlignment="1">
      <alignment vertical="top" wrapText="1"/>
    </xf>
    <xf numFmtId="0" fontId="5" fillId="2" borderId="0" xfId="0" applyFont="1" applyFill="1" applyAlignment="1">
      <alignment horizontal="left" vertical="center"/>
    </xf>
    <xf numFmtId="0" fontId="110" fillId="60" borderId="0" xfId="0" applyFont="1" applyFill="1" applyAlignment="1">
      <alignment vertical="center"/>
    </xf>
    <xf numFmtId="0" fontId="110" fillId="2" borderId="0" xfId="0" applyFont="1" applyFill="1" applyAlignment="1">
      <alignment horizontal="right" vertical="center" wrapText="1"/>
    </xf>
    <xf numFmtId="0" fontId="111" fillId="60" borderId="0" xfId="0" applyFont="1" applyFill="1" applyAlignment="1">
      <alignment vertical="center"/>
    </xf>
    <xf numFmtId="0" fontId="111" fillId="2" borderId="0" xfId="0" applyFont="1" applyFill="1" applyAlignment="1">
      <alignment horizontal="right" vertical="center"/>
    </xf>
    <xf numFmtId="0" fontId="5" fillId="2" borderId="0" xfId="0" applyFont="1" applyFill="1" applyAlignment="1">
      <alignment horizontal="right" vertical="center"/>
    </xf>
    <xf numFmtId="0" fontId="111" fillId="2" borderId="0" xfId="0" applyFont="1" applyFill="1" applyAlignment="1">
      <alignment vertical="center"/>
    </xf>
    <xf numFmtId="0" fontId="111" fillId="0" borderId="0" xfId="0" applyFont="1" applyAlignment="1">
      <alignment vertical="center"/>
    </xf>
    <xf numFmtId="0" fontId="83" fillId="55" borderId="0" xfId="0" applyFont="1" applyFill="1"/>
    <xf numFmtId="0" fontId="112" fillId="60" borderId="0" xfId="0" applyFont="1" applyFill="1" applyAlignment="1">
      <alignment vertical="center"/>
    </xf>
    <xf numFmtId="173" fontId="111" fillId="0" borderId="0" xfId="0" applyNumberFormat="1" applyFont="1" applyAlignment="1">
      <alignment horizontal="right" vertical="center"/>
    </xf>
    <xf numFmtId="0" fontId="5" fillId="0" borderId="0" xfId="0" applyFont="1" applyAlignment="1">
      <alignment horizontal="right" vertical="center"/>
    </xf>
    <xf numFmtId="3" fontId="5" fillId="0" borderId="0" xfId="0" applyNumberFormat="1" applyFont="1" applyAlignment="1">
      <alignment vertical="center" wrapText="1"/>
    </xf>
    <xf numFmtId="173" fontId="5" fillId="0" borderId="0" xfId="0" applyNumberFormat="1" applyFont="1" applyAlignment="1">
      <alignment horizontal="right" vertical="center" wrapText="1"/>
    </xf>
    <xf numFmtId="173" fontId="5" fillId="0" borderId="34" xfId="0" applyNumberFormat="1" applyFont="1" applyBorder="1" applyAlignment="1">
      <alignment horizontal="right" vertical="center" wrapText="1"/>
    </xf>
    <xf numFmtId="0" fontId="5" fillId="0" borderId="0" xfId="0" applyFont="1" applyAlignment="1">
      <alignment horizontal="right" vertical="center" wrapText="1"/>
    </xf>
    <xf numFmtId="1" fontId="5" fillId="0" borderId="0" xfId="0" applyNumberFormat="1" applyFont="1" applyAlignment="1">
      <alignment horizontal="right" vertical="center" wrapText="1"/>
    </xf>
    <xf numFmtId="1" fontId="5" fillId="0" borderId="34" xfId="0" applyNumberFormat="1" applyFont="1" applyBorder="1" applyAlignment="1">
      <alignment horizontal="right" vertical="center" wrapText="1"/>
    </xf>
    <xf numFmtId="0" fontId="111" fillId="0" borderId="0" xfId="0" applyFont="1"/>
    <xf numFmtId="0" fontId="82" fillId="0" borderId="0" xfId="0" applyFont="1" applyAlignment="1">
      <alignment horizontal="right"/>
    </xf>
    <xf numFmtId="0" fontId="82" fillId="0" borderId="34" xfId="0" applyFont="1" applyBorder="1" applyAlignment="1">
      <alignment horizontal="right"/>
    </xf>
    <xf numFmtId="173" fontId="82" fillId="0" borderId="34" xfId="0" applyNumberFormat="1" applyFont="1" applyBorder="1"/>
    <xf numFmtId="4" fontId="92" fillId="0" borderId="0" xfId="0" applyNumberFormat="1" applyFont="1" applyAlignment="1" applyProtection="1">
      <alignment horizontal="right"/>
      <protection locked="0"/>
    </xf>
    <xf numFmtId="4" fontId="78" fillId="0" borderId="0" xfId="0" applyNumberFormat="1" applyFont="1" applyAlignment="1">
      <alignment horizontal="right"/>
    </xf>
    <xf numFmtId="4" fontId="78" fillId="0" borderId="34" xfId="0" applyNumberFormat="1" applyFont="1" applyBorder="1" applyAlignment="1">
      <alignment horizontal="right"/>
    </xf>
    <xf numFmtId="3" fontId="111" fillId="0" borderId="0" xfId="0" applyNumberFormat="1" applyFont="1" applyAlignment="1">
      <alignment vertical="center"/>
    </xf>
    <xf numFmtId="173" fontId="82" fillId="0" borderId="0" xfId="0" applyNumberFormat="1" applyFont="1" applyAlignment="1">
      <alignment horizontal="right"/>
    </xf>
    <xf numFmtId="173" fontId="111" fillId="0" borderId="34" xfId="0" applyNumberFormat="1" applyFont="1" applyBorder="1" applyAlignment="1">
      <alignment horizontal="right" vertical="center"/>
    </xf>
    <xf numFmtId="173" fontId="82" fillId="0" borderId="34" xfId="0" applyNumberFormat="1" applyFont="1" applyBorder="1" applyAlignment="1">
      <alignment horizontal="right"/>
    </xf>
    <xf numFmtId="0" fontId="78" fillId="0" borderId="39" xfId="0" applyFont="1" applyBorder="1"/>
    <xf numFmtId="0" fontId="82" fillId="60" borderId="0" xfId="0" applyFont="1" applyFill="1" applyAlignment="1">
      <alignment vertical="center"/>
    </xf>
    <xf numFmtId="4" fontId="5" fillId="0" borderId="0" xfId="0" applyNumberFormat="1" applyFont="1" applyAlignment="1" applyProtection="1">
      <alignment horizontal="right" vertical="center"/>
      <protection locked="0"/>
    </xf>
    <xf numFmtId="4" fontId="82" fillId="0" borderId="0" xfId="0" applyNumberFormat="1" applyFont="1"/>
    <xf numFmtId="2" fontId="82" fillId="0" borderId="0" xfId="0" applyNumberFormat="1" applyFont="1" applyAlignment="1">
      <alignment horizontal="right"/>
    </xf>
    <xf numFmtId="4" fontId="5" fillId="0" borderId="34" xfId="0" applyNumberFormat="1" applyFont="1" applyBorder="1" applyAlignment="1" applyProtection="1">
      <alignment horizontal="right" vertical="center"/>
      <protection locked="0"/>
    </xf>
    <xf numFmtId="173" fontId="100" fillId="0" borderId="0" xfId="0" applyNumberFormat="1" applyFont="1" applyAlignment="1">
      <alignment horizontal="right" vertical="center" wrapText="1"/>
    </xf>
    <xf numFmtId="2" fontId="78" fillId="0" borderId="0" xfId="0" applyNumberFormat="1" applyFont="1"/>
    <xf numFmtId="173" fontId="82" fillId="0" borderId="0" xfId="0" applyNumberFormat="1" applyFont="1" applyAlignment="1">
      <alignment horizontal="right" vertical="center"/>
    </xf>
    <xf numFmtId="0" fontId="9" fillId="2" borderId="0" xfId="0" applyFont="1" applyFill="1" applyAlignment="1">
      <alignment vertical="top" wrapText="1"/>
    </xf>
    <xf numFmtId="3" fontId="9" fillId="2" borderId="36" xfId="0" applyNumberFormat="1" applyFont="1" applyFill="1" applyBorder="1" applyAlignment="1">
      <alignment horizontal="right" vertical="center"/>
    </xf>
    <xf numFmtId="3" fontId="103" fillId="0" borderId="0" xfId="0" applyNumberFormat="1" applyFont="1"/>
    <xf numFmtId="0" fontId="103" fillId="0" borderId="0" xfId="0" applyFont="1" applyAlignment="1">
      <alignment horizontal="right" vertical="center"/>
    </xf>
    <xf numFmtId="173" fontId="103" fillId="0" borderId="0" xfId="0" applyNumberFormat="1" applyFont="1" applyAlignment="1">
      <alignment horizontal="right" vertical="center"/>
    </xf>
    <xf numFmtId="0" fontId="111" fillId="0" borderId="0" xfId="0" applyFont="1" applyAlignment="1">
      <alignment horizontal="right" vertical="center"/>
    </xf>
    <xf numFmtId="174" fontId="5" fillId="0" borderId="0" xfId="2" applyNumberFormat="1" applyFont="1" applyFill="1" applyBorder="1" applyAlignment="1">
      <alignment horizontal="right" wrapText="1"/>
    </xf>
    <xf numFmtId="173" fontId="9" fillId="2" borderId="34" xfId="0" applyNumberFormat="1" applyFont="1" applyFill="1" applyBorder="1" applyAlignment="1">
      <alignment horizontal="right" vertical="center" wrapText="1"/>
    </xf>
    <xf numFmtId="9" fontId="79" fillId="0" borderId="34" xfId="1" applyFont="1" applyBorder="1"/>
    <xf numFmtId="190" fontId="5" fillId="0" borderId="34" xfId="0" applyNumberFormat="1" applyFont="1" applyBorder="1"/>
    <xf numFmtId="1" fontId="82" fillId="0" borderId="0" xfId="0" applyNumberFormat="1" applyFont="1" applyAlignment="1">
      <alignment vertical="center" wrapText="1"/>
    </xf>
    <xf numFmtId="170" fontId="5" fillId="2" borderId="0" xfId="1" applyNumberFormat="1" applyFont="1" applyFill="1" applyBorder="1" applyAlignment="1">
      <alignment horizontal="right" vertical="center"/>
    </xf>
    <xf numFmtId="170" fontId="5" fillId="2" borderId="34" xfId="1" applyNumberFormat="1" applyFont="1" applyFill="1" applyBorder="1" applyAlignment="1">
      <alignment horizontal="right" vertical="center"/>
    </xf>
    <xf numFmtId="9" fontId="5" fillId="0" borderId="34" xfId="1" applyFont="1" applyFill="1" applyBorder="1"/>
    <xf numFmtId="0" fontId="78" fillId="2" borderId="34" xfId="0" applyFont="1" applyFill="1" applyBorder="1"/>
    <xf numFmtId="0" fontId="78" fillId="2" borderId="34" xfId="0" applyFont="1" applyFill="1" applyBorder="1" applyAlignment="1">
      <alignment horizontal="right"/>
    </xf>
    <xf numFmtId="0" fontId="78" fillId="2" borderId="0" xfId="0" applyFont="1" applyFill="1" applyAlignment="1">
      <alignment horizontal="right"/>
    </xf>
    <xf numFmtId="9" fontId="78" fillId="2" borderId="34" xfId="0" applyNumberFormat="1" applyFont="1" applyFill="1" applyBorder="1"/>
    <xf numFmtId="4" fontId="5" fillId="0" borderId="0" xfId="0" applyNumberFormat="1" applyFont="1" applyAlignment="1" applyProtection="1">
      <alignment horizontal="right"/>
      <protection locked="0"/>
    </xf>
    <xf numFmtId="4" fontId="5" fillId="0" borderId="34" xfId="0" applyNumberFormat="1" applyFont="1" applyBorder="1" applyAlignment="1" applyProtection="1">
      <alignment horizontal="right"/>
      <protection locked="0"/>
    </xf>
    <xf numFmtId="173" fontId="5" fillId="2" borderId="0" xfId="0" applyNumberFormat="1" applyFont="1" applyFill="1" applyAlignment="1">
      <alignment horizontal="right" vertical="center" wrapText="1"/>
    </xf>
    <xf numFmtId="1" fontId="78" fillId="0" borderId="0" xfId="0" applyNumberFormat="1" applyFont="1"/>
    <xf numFmtId="0" fontId="82" fillId="2" borderId="0" xfId="0" applyFont="1" applyFill="1" applyAlignment="1">
      <alignment vertical="center"/>
    </xf>
    <xf numFmtId="0" fontId="5" fillId="2" borderId="0" xfId="0" applyFont="1" applyFill="1" applyAlignment="1">
      <alignment horizontal="right" wrapText="1"/>
    </xf>
    <xf numFmtId="3" fontId="9" fillId="2" borderId="34" xfId="0" applyNumberFormat="1" applyFont="1" applyFill="1" applyBorder="1" applyAlignment="1">
      <alignment vertical="center"/>
    </xf>
    <xf numFmtId="0" fontId="87" fillId="55" borderId="0" xfId="0" applyFont="1" applyFill="1" applyAlignment="1">
      <alignment vertical="center" wrapText="1"/>
    </xf>
    <xf numFmtId="0" fontId="83" fillId="2" borderId="0" xfId="0" applyFont="1" applyFill="1" applyAlignment="1">
      <alignment vertical="center"/>
    </xf>
    <xf numFmtId="0" fontId="86" fillId="2" borderId="0" xfId="267" applyFont="1" applyFill="1" applyAlignment="1">
      <alignment vertical="center"/>
    </xf>
    <xf numFmtId="3" fontId="92" fillId="0" borderId="34" xfId="4" quotePrefix="1" applyNumberFormat="1" applyFont="1" applyBorder="1" applyAlignment="1">
      <alignment horizontal="right" vertical="top" wrapText="1"/>
    </xf>
    <xf numFmtId="173" fontId="5" fillId="0" borderId="3" xfId="0" applyNumberFormat="1" applyFont="1" applyBorder="1" applyAlignment="1">
      <alignment horizontal="right" vertical="center" wrapText="1"/>
    </xf>
    <xf numFmtId="9" fontId="82" fillId="0" borderId="0" xfId="0" applyNumberFormat="1" applyFont="1"/>
    <xf numFmtId="3" fontId="5" fillId="2" borderId="34" xfId="0" applyNumberFormat="1" applyFont="1" applyFill="1" applyBorder="1" applyAlignment="1">
      <alignment horizontal="right"/>
    </xf>
    <xf numFmtId="3" fontId="78" fillId="2" borderId="0" xfId="0" applyNumberFormat="1" applyFont="1" applyFill="1"/>
    <xf numFmtId="173" fontId="111" fillId="2" borderId="0" xfId="0" applyNumberFormat="1" applyFont="1" applyFill="1" applyAlignment="1">
      <alignment vertical="center"/>
    </xf>
    <xf numFmtId="173" fontId="111" fillId="2" borderId="34" xfId="0" applyNumberFormat="1" applyFont="1" applyFill="1" applyBorder="1" applyAlignment="1">
      <alignment vertical="center"/>
    </xf>
    <xf numFmtId="173" fontId="111" fillId="0" borderId="0" xfId="0" applyNumberFormat="1" applyFont="1" applyAlignment="1">
      <alignment vertical="center"/>
    </xf>
    <xf numFmtId="9" fontId="78" fillId="2" borderId="0" xfId="0" applyNumberFormat="1" applyFont="1" applyFill="1"/>
    <xf numFmtId="2" fontId="78" fillId="2" borderId="0" xfId="0" applyNumberFormat="1" applyFont="1" applyFill="1"/>
    <xf numFmtId="2" fontId="78" fillId="2" borderId="34" xfId="0" applyNumberFormat="1" applyFont="1" applyFill="1" applyBorder="1"/>
    <xf numFmtId="9" fontId="5" fillId="2" borderId="0" xfId="1" applyFont="1" applyFill="1" applyAlignment="1">
      <alignment horizontal="right" vertical="center"/>
    </xf>
    <xf numFmtId="0" fontId="5" fillId="0" borderId="0" xfId="0" applyFont="1" applyAlignment="1">
      <alignment horizontal="center" vertical="center"/>
    </xf>
    <xf numFmtId="4" fontId="92" fillId="0" borderId="0" xfId="0" applyNumberFormat="1" applyFont="1" applyAlignment="1" applyProtection="1">
      <alignment horizontal="right" vertical="center"/>
      <protection locked="0"/>
    </xf>
    <xf numFmtId="4" fontId="92" fillId="0" borderId="34" xfId="0" applyNumberFormat="1" applyFont="1" applyBorder="1" applyAlignment="1" applyProtection="1">
      <alignment horizontal="right" vertical="center"/>
      <protection locked="0"/>
    </xf>
    <xf numFmtId="3" fontId="5" fillId="2" borderId="0" xfId="0" applyNumberFormat="1" applyFont="1" applyFill="1"/>
    <xf numFmtId="3" fontId="5" fillId="2" borderId="0" xfId="0" applyNumberFormat="1" applyFont="1" applyFill="1" applyAlignment="1">
      <alignment horizontal="right"/>
    </xf>
    <xf numFmtId="170" fontId="82" fillId="0" borderId="0" xfId="1" applyNumberFormat="1" applyFont="1" applyBorder="1"/>
    <xf numFmtId="4" fontId="82" fillId="0" borderId="0" xfId="1" applyNumberFormat="1" applyFont="1" applyBorder="1"/>
    <xf numFmtId="172" fontId="5" fillId="2" borderId="0" xfId="0" applyNumberFormat="1" applyFont="1" applyFill="1" applyAlignment="1" applyProtection="1">
      <alignment vertical="top" wrapText="1"/>
      <protection locked="0"/>
    </xf>
    <xf numFmtId="0" fontId="9" fillId="0" borderId="32" xfId="0" applyFont="1" applyBorder="1" applyAlignment="1">
      <alignment wrapText="1"/>
    </xf>
    <xf numFmtId="9" fontId="9" fillId="0" borderId="0" xfId="1" applyFont="1" applyBorder="1"/>
    <xf numFmtId="3" fontId="92" fillId="0" borderId="0" xfId="2" applyNumberFormat="1" applyFont="1" applyFill="1" applyBorder="1"/>
    <xf numFmtId="3" fontId="92" fillId="0" borderId="34" xfId="2" applyNumberFormat="1" applyFont="1" applyFill="1" applyBorder="1" applyAlignment="1">
      <alignment horizontal="left"/>
    </xf>
    <xf numFmtId="172" fontId="82" fillId="0" borderId="0" xfId="0" applyNumberFormat="1" applyFont="1"/>
    <xf numFmtId="0" fontId="103" fillId="2" borderId="0" xfId="0" applyFont="1" applyFill="1"/>
    <xf numFmtId="3" fontId="5" fillId="2" borderId="0" xfId="0" applyNumberFormat="1" applyFont="1" applyFill="1" applyAlignment="1" applyProtection="1">
      <alignment horizontal="right"/>
      <protection locked="0"/>
    </xf>
    <xf numFmtId="2" fontId="82" fillId="2" borderId="0" xfId="0" applyNumberFormat="1" applyFont="1" applyFill="1" applyAlignment="1">
      <alignment horizontal="right"/>
    </xf>
    <xf numFmtId="10" fontId="82" fillId="0" borderId="0" xfId="0" applyNumberFormat="1" applyFont="1"/>
    <xf numFmtId="9" fontId="82" fillId="0" borderId="0" xfId="1" applyFont="1"/>
    <xf numFmtId="207" fontId="82" fillId="0" borderId="0" xfId="0" applyNumberFormat="1" applyFont="1"/>
    <xf numFmtId="2" fontId="78" fillId="0" borderId="34" xfId="0" applyNumberFormat="1" applyFont="1" applyBorder="1"/>
    <xf numFmtId="9" fontId="78" fillId="0" borderId="34" xfId="0" applyNumberFormat="1" applyFont="1" applyBorder="1"/>
    <xf numFmtId="1" fontId="78" fillId="0" borderId="34" xfId="0" applyNumberFormat="1" applyFont="1" applyBorder="1"/>
    <xf numFmtId="1" fontId="82" fillId="0" borderId="0" xfId="0" applyNumberFormat="1" applyFont="1"/>
    <xf numFmtId="1" fontId="82" fillId="0" borderId="34" xfId="0" applyNumberFormat="1" applyFont="1" applyBorder="1"/>
    <xf numFmtId="173" fontId="82" fillId="2" borderId="0" xfId="0" applyNumberFormat="1" applyFont="1" applyFill="1" applyAlignment="1">
      <alignment horizontal="right"/>
    </xf>
    <xf numFmtId="0" fontId="142" fillId="0" borderId="0" xfId="0" applyFont="1" applyAlignment="1">
      <alignment vertical="center" wrapText="1"/>
    </xf>
    <xf numFmtId="0" fontId="101" fillId="0" borderId="0" xfId="0" applyFont="1"/>
    <xf numFmtId="0" fontId="85" fillId="55" borderId="0" xfId="0" applyFont="1" applyFill="1"/>
    <xf numFmtId="0" fontId="86" fillId="55" borderId="0" xfId="522" applyFont="1" applyFill="1"/>
    <xf numFmtId="0" fontId="143" fillId="55" borderId="0" xfId="522" applyFont="1" applyFill="1" applyAlignment="1">
      <alignment horizontal="center"/>
    </xf>
    <xf numFmtId="174" fontId="106" fillId="0" borderId="0" xfId="2" applyNumberFormat="1" applyFont="1" applyFill="1" applyBorder="1" applyAlignment="1">
      <alignment vertical="center"/>
    </xf>
    <xf numFmtId="172" fontId="9" fillId="59" borderId="0" xfId="0" applyNumberFormat="1" applyFont="1" applyFill="1" applyAlignment="1" applyProtection="1">
      <alignment vertical="top" wrapText="1"/>
      <protection locked="0"/>
    </xf>
    <xf numFmtId="0" fontId="144" fillId="0" borderId="0" xfId="0" applyFont="1"/>
    <xf numFmtId="0" fontId="144" fillId="0" borderId="0" xfId="0" applyFont="1" applyAlignment="1">
      <alignment horizontal="left" vertical="top" wrapText="1"/>
    </xf>
    <xf numFmtId="14" fontId="146" fillId="55" borderId="0" xfId="0" applyNumberFormat="1" applyFont="1" applyFill="1"/>
    <xf numFmtId="208" fontId="5" fillId="0" borderId="0" xfId="2" applyNumberFormat="1" applyFont="1" applyFill="1" applyBorder="1" applyAlignment="1">
      <alignment horizontal="right" wrapText="1"/>
    </xf>
    <xf numFmtId="173" fontId="82" fillId="0" borderId="37" xfId="0" applyNumberFormat="1" applyFont="1" applyBorder="1"/>
    <xf numFmtId="173" fontId="82" fillId="0" borderId="38" xfId="0" applyNumberFormat="1" applyFont="1" applyBorder="1"/>
    <xf numFmtId="0" fontId="82" fillId="0" borderId="37" xfId="0" applyFont="1" applyBorder="1" applyAlignment="1">
      <alignment vertical="center" wrapText="1"/>
    </xf>
    <xf numFmtId="0" fontId="101" fillId="2" borderId="0" xfId="0" applyFont="1" applyFill="1" applyAlignment="1">
      <alignment horizontal="right" vertical="center"/>
    </xf>
    <xf numFmtId="3" fontId="78" fillId="2" borderId="34" xfId="0" applyNumberFormat="1" applyFont="1" applyFill="1" applyBorder="1"/>
    <xf numFmtId="9" fontId="9" fillId="0" borderId="0" xfId="1" applyFont="1" applyFill="1" applyBorder="1"/>
    <xf numFmtId="0" fontId="147" fillId="0" borderId="0" xfId="0" applyFont="1" applyAlignment="1">
      <alignment horizontal="left" wrapText="1"/>
    </xf>
    <xf numFmtId="0" fontId="147" fillId="0" borderId="0" xfId="0" applyFont="1" applyAlignment="1">
      <alignment horizontal="right"/>
    </xf>
    <xf numFmtId="0" fontId="148" fillId="0" borderId="0" xfId="0" applyFont="1"/>
    <xf numFmtId="0" fontId="147" fillId="0" borderId="34" xfId="0" applyFont="1" applyBorder="1" applyAlignment="1">
      <alignment horizontal="right"/>
    </xf>
    <xf numFmtId="0" fontId="147" fillId="0" borderId="32" xfId="0" applyFont="1" applyBorder="1" applyAlignment="1">
      <alignment horizontal="left" wrapText="1"/>
    </xf>
    <xf numFmtId="0" fontId="147" fillId="0" borderId="32" xfId="0" applyFont="1" applyBorder="1" applyAlignment="1">
      <alignment horizontal="right"/>
    </xf>
    <xf numFmtId="0" fontId="147" fillId="0" borderId="35" xfId="0" applyFont="1" applyBorder="1" applyAlignment="1">
      <alignment horizontal="right"/>
    </xf>
    <xf numFmtId="0" fontId="148" fillId="0" borderId="0" xfId="7" applyFont="1" applyAlignment="1">
      <alignment vertical="top" wrapText="1"/>
    </xf>
    <xf numFmtId="0" fontId="5" fillId="0" borderId="1" xfId="0" applyFont="1" applyBorder="1"/>
    <xf numFmtId="0" fontId="147" fillId="0" borderId="0" xfId="7" applyFont="1" applyAlignment="1">
      <alignment vertical="top" wrapText="1"/>
    </xf>
    <xf numFmtId="0" fontId="79" fillId="0" borderId="0" xfId="7" applyFont="1" applyAlignment="1">
      <alignment vertical="top" wrapText="1"/>
    </xf>
    <xf numFmtId="174" fontId="5" fillId="2" borderId="0" xfId="2" applyNumberFormat="1" applyFont="1" applyFill="1" applyBorder="1" applyAlignment="1" applyProtection="1">
      <alignment horizontal="right" vertical="top" wrapText="1"/>
      <protection locked="0"/>
    </xf>
    <xf numFmtId="0" fontId="92" fillId="2" borderId="0" xfId="0" applyFont="1" applyFill="1" applyAlignment="1">
      <alignment horizontal="left" vertical="top" wrapText="1"/>
    </xf>
    <xf numFmtId="0" fontId="92" fillId="0" borderId="0" xfId="0" applyFont="1"/>
    <xf numFmtId="0" fontId="92" fillId="0" borderId="0" xfId="0" applyFont="1" applyAlignment="1">
      <alignment horizontal="left"/>
    </xf>
    <xf numFmtId="0" fontId="94" fillId="0" borderId="0" xfId="0" applyFont="1"/>
    <xf numFmtId="0" fontId="78" fillId="0" borderId="0" xfId="0" applyFont="1" applyAlignment="1">
      <alignment horizontal="left"/>
    </xf>
    <xf numFmtId="0" fontId="78" fillId="2" borderId="0" xfId="0" applyFont="1" applyFill="1" applyAlignment="1">
      <alignment horizontal="left"/>
    </xf>
    <xf numFmtId="0" fontId="78" fillId="2" borderId="0" xfId="0" applyFont="1" applyFill="1" applyAlignment="1">
      <alignment vertical="top"/>
    </xf>
    <xf numFmtId="0" fontId="78" fillId="2" borderId="0" xfId="0" applyFont="1" applyFill="1" applyAlignment="1">
      <alignment horizontal="left" vertical="top"/>
    </xf>
    <xf numFmtId="0" fontId="92" fillId="0" borderId="0" xfId="0" applyFont="1" applyAlignment="1">
      <alignment vertical="top"/>
    </xf>
    <xf numFmtId="0" fontId="78" fillId="2" borderId="1" xfId="0" applyFont="1" applyFill="1" applyBorder="1" applyAlignment="1">
      <alignment vertical="top"/>
    </xf>
    <xf numFmtId="0" fontId="78" fillId="2" borderId="1" xfId="0" applyFont="1" applyFill="1" applyBorder="1" applyAlignment="1">
      <alignment horizontal="left" vertical="top"/>
    </xf>
    <xf numFmtId="0" fontId="78" fillId="2" borderId="2" xfId="0" applyFont="1" applyFill="1" applyBorder="1" applyAlignment="1">
      <alignment vertical="top"/>
    </xf>
    <xf numFmtId="0" fontId="78" fillId="2" borderId="2" xfId="0" applyFont="1" applyFill="1" applyBorder="1" applyAlignment="1">
      <alignment horizontal="left" vertical="top"/>
    </xf>
    <xf numFmtId="0" fontId="78" fillId="2" borderId="27" xfId="0" applyFont="1" applyFill="1" applyBorder="1" applyAlignment="1">
      <alignment vertical="top"/>
    </xf>
    <xf numFmtId="0" fontId="78" fillId="2" borderId="27" xfId="0" applyFont="1" applyFill="1" applyBorder="1" applyAlignment="1">
      <alignment horizontal="left" vertical="top"/>
    </xf>
    <xf numFmtId="0" fontId="151" fillId="2" borderId="0" xfId="0" applyFont="1" applyFill="1" applyAlignment="1">
      <alignment vertical="top"/>
    </xf>
    <xf numFmtId="0" fontId="150" fillId="0" borderId="0" xfId="0" applyFont="1" applyAlignment="1">
      <alignment vertical="top"/>
    </xf>
    <xf numFmtId="0" fontId="151" fillId="2" borderId="1" xfId="0" applyFont="1" applyFill="1" applyBorder="1" applyAlignment="1">
      <alignment vertical="top"/>
    </xf>
    <xf numFmtId="0" fontId="151" fillId="2" borderId="27" xfId="0" applyFont="1" applyFill="1" applyBorder="1" applyAlignment="1">
      <alignment vertical="top"/>
    </xf>
    <xf numFmtId="0" fontId="88" fillId="54" borderId="0" xfId="0" applyFont="1" applyFill="1" applyAlignment="1">
      <alignment horizontal="left"/>
    </xf>
    <xf numFmtId="0" fontId="152" fillId="2" borderId="0" xfId="0" applyFont="1" applyFill="1" applyAlignment="1">
      <alignment horizontal="left" vertical="top" wrapText="1"/>
    </xf>
    <xf numFmtId="0" fontId="152" fillId="2" borderId="1" xfId="0" applyFont="1" applyFill="1" applyBorder="1" applyAlignment="1">
      <alignment horizontal="left" vertical="top" wrapText="1"/>
    </xf>
    <xf numFmtId="0" fontId="152" fillId="2" borderId="2" xfId="0" applyFont="1" applyFill="1" applyBorder="1" applyAlignment="1">
      <alignment horizontal="left" vertical="top" wrapText="1"/>
    </xf>
    <xf numFmtId="0" fontId="152" fillId="2" borderId="27" xfId="0" applyFont="1" applyFill="1" applyBorder="1" applyAlignment="1">
      <alignment horizontal="left" vertical="top" wrapText="1"/>
    </xf>
    <xf numFmtId="0" fontId="92" fillId="2" borderId="0" xfId="0" applyFont="1" applyFill="1" applyAlignment="1">
      <alignment horizontal="left" vertical="top"/>
    </xf>
    <xf numFmtId="0" fontId="92" fillId="2" borderId="0" xfId="0" applyFont="1" applyFill="1" applyAlignment="1">
      <alignment horizontal="left" wrapText="1"/>
    </xf>
    <xf numFmtId="0" fontId="92" fillId="0" borderId="0" xfId="0" applyFont="1" applyAlignment="1">
      <alignment horizontal="left" wrapText="1"/>
    </xf>
    <xf numFmtId="0" fontId="155" fillId="2" borderId="27" xfId="0" applyFont="1" applyFill="1" applyBorder="1" applyAlignment="1">
      <alignment horizontal="left" vertical="top"/>
    </xf>
    <xf numFmtId="0" fontId="153" fillId="2" borderId="0" xfId="0" applyFont="1" applyFill="1" applyAlignment="1">
      <alignment horizontal="left" vertical="top" wrapText="1"/>
    </xf>
    <xf numFmtId="0" fontId="155" fillId="2" borderId="0" xfId="0" applyFont="1" applyFill="1" applyAlignment="1">
      <alignment horizontal="left" vertical="top"/>
    </xf>
    <xf numFmtId="0" fontId="153" fillId="2" borderId="1" xfId="0" applyFont="1" applyFill="1" applyBorder="1" applyAlignment="1">
      <alignment horizontal="left" vertical="top" wrapText="1"/>
    </xf>
    <xf numFmtId="0" fontId="155" fillId="2" borderId="1" xfId="0" applyFont="1" applyFill="1" applyBorder="1" applyAlignment="1">
      <alignment horizontal="left" vertical="top"/>
    </xf>
    <xf numFmtId="0" fontId="80" fillId="2" borderId="0" xfId="0" applyFont="1" applyFill="1" applyAlignment="1">
      <alignment horizontal="left" vertical="top"/>
    </xf>
    <xf numFmtId="14" fontId="78" fillId="2" borderId="0" xfId="0" applyNumberFormat="1" applyFont="1" applyFill="1" applyAlignment="1">
      <alignment horizontal="left" vertical="top"/>
    </xf>
    <xf numFmtId="0" fontId="82" fillId="2" borderId="0" xfId="0" applyFont="1" applyFill="1" applyAlignment="1">
      <alignment horizontal="left" vertical="top"/>
    </xf>
    <xf numFmtId="0" fontId="80" fillId="2" borderId="1" xfId="0" applyFont="1" applyFill="1" applyBorder="1" applyAlignment="1">
      <alignment horizontal="left" vertical="top"/>
    </xf>
    <xf numFmtId="14" fontId="78" fillId="2" borderId="1" xfId="0" applyNumberFormat="1" applyFont="1" applyFill="1" applyBorder="1" applyAlignment="1">
      <alignment horizontal="left" vertical="top"/>
    </xf>
    <xf numFmtId="0" fontId="82" fillId="2" borderId="1" xfId="0" applyFont="1" applyFill="1" applyBorder="1" applyAlignment="1">
      <alignment horizontal="left" vertical="top"/>
    </xf>
    <xf numFmtId="0" fontId="80" fillId="2" borderId="2" xfId="0" applyFont="1" applyFill="1" applyBorder="1" applyAlignment="1">
      <alignment horizontal="left" vertical="top"/>
    </xf>
    <xf numFmtId="14" fontId="78" fillId="2" borderId="2" xfId="0" applyNumberFormat="1" applyFont="1" applyFill="1" applyBorder="1" applyAlignment="1">
      <alignment horizontal="left" vertical="top"/>
    </xf>
    <xf numFmtId="0" fontId="82" fillId="2" borderId="2" xfId="0" applyFont="1" applyFill="1" applyBorder="1" applyAlignment="1">
      <alignment horizontal="left" vertical="top"/>
    </xf>
    <xf numFmtId="0" fontId="80" fillId="2" borderId="27" xfId="0" applyFont="1" applyFill="1" applyBorder="1" applyAlignment="1">
      <alignment horizontal="left" vertical="top"/>
    </xf>
    <xf numFmtId="14" fontId="78" fillId="2" borderId="27" xfId="0" applyNumberFormat="1" applyFont="1" applyFill="1" applyBorder="1" applyAlignment="1">
      <alignment horizontal="left" vertical="top"/>
    </xf>
    <xf numFmtId="0" fontId="82" fillId="2" borderId="27" xfId="0" applyFont="1" applyFill="1" applyBorder="1" applyAlignment="1">
      <alignment horizontal="left" vertical="top"/>
    </xf>
    <xf numFmtId="0" fontId="107" fillId="2" borderId="0" xfId="522" applyFont="1" applyFill="1" applyBorder="1" applyAlignment="1">
      <alignment horizontal="left" vertical="top"/>
    </xf>
    <xf numFmtId="0" fontId="154" fillId="2" borderId="1" xfId="0" applyFont="1" applyFill="1" applyBorder="1" applyAlignment="1">
      <alignment horizontal="left" vertical="top"/>
    </xf>
    <xf numFmtId="14" fontId="155" fillId="2" borderId="1" xfId="0" applyNumberFormat="1" applyFont="1" applyFill="1" applyBorder="1" applyAlignment="1">
      <alignment horizontal="left" vertical="top"/>
    </xf>
    <xf numFmtId="14" fontId="155" fillId="2" borderId="0" xfId="0" applyNumberFormat="1" applyFont="1" applyFill="1" applyAlignment="1">
      <alignment horizontal="left" vertical="top"/>
    </xf>
    <xf numFmtId="14" fontId="155" fillId="2" borderId="27" xfId="0" applyNumberFormat="1" applyFont="1" applyFill="1" applyBorder="1" applyAlignment="1">
      <alignment horizontal="left" vertical="top"/>
    </xf>
    <xf numFmtId="0" fontId="149" fillId="2" borderId="0" xfId="0" applyFont="1" applyFill="1" applyAlignment="1">
      <alignment horizontal="left"/>
    </xf>
    <xf numFmtId="0" fontId="93" fillId="0" borderId="0" xfId="0" applyFont="1" applyAlignment="1">
      <alignment horizontal="left"/>
    </xf>
    <xf numFmtId="0" fontId="149" fillId="0" borderId="0" xfId="0" applyFont="1" applyAlignment="1">
      <alignment horizontal="left"/>
    </xf>
    <xf numFmtId="0" fontId="156" fillId="2" borderId="27" xfId="0" applyFont="1" applyFill="1" applyBorder="1" applyAlignment="1">
      <alignment horizontal="left" vertical="top"/>
    </xf>
    <xf numFmtId="0" fontId="157" fillId="2" borderId="27" xfId="0" applyFont="1" applyFill="1" applyBorder="1" applyAlignment="1">
      <alignment horizontal="left" vertical="top"/>
    </xf>
    <xf numFmtId="174" fontId="92" fillId="2" borderId="0" xfId="2" applyNumberFormat="1" applyFont="1" applyFill="1" applyBorder="1" applyAlignment="1">
      <alignment horizontal="left"/>
    </xf>
    <xf numFmtId="174" fontId="92" fillId="2" borderId="0" xfId="2" applyNumberFormat="1" applyFont="1" applyFill="1" applyAlignment="1">
      <alignment horizontal="left"/>
    </xf>
    <xf numFmtId="174" fontId="92" fillId="0" borderId="0" xfId="2" applyNumberFormat="1" applyFont="1" applyAlignment="1">
      <alignment horizontal="left"/>
    </xf>
    <xf numFmtId="0" fontId="88" fillId="54" borderId="0" xfId="0" applyFont="1" applyFill="1" applyAlignment="1">
      <alignment vertical="top"/>
    </xf>
    <xf numFmtId="0" fontId="88" fillId="54" borderId="0" xfId="0" applyFont="1" applyFill="1" applyAlignment="1">
      <alignment horizontal="left" vertical="top"/>
    </xf>
    <xf numFmtId="174" fontId="88" fillId="54" borderId="0" xfId="2" applyNumberFormat="1" applyFont="1" applyFill="1" applyAlignment="1">
      <alignment horizontal="left" vertical="top"/>
    </xf>
    <xf numFmtId="0" fontId="158" fillId="2" borderId="1" xfId="0" applyFont="1" applyFill="1" applyBorder="1" applyAlignment="1">
      <alignment horizontal="left" vertical="top" wrapText="1"/>
    </xf>
    <xf numFmtId="174" fontId="158" fillId="2" borderId="1" xfId="2" applyNumberFormat="1" applyFont="1" applyFill="1" applyBorder="1" applyAlignment="1">
      <alignment horizontal="left" vertical="top" wrapText="1"/>
    </xf>
    <xf numFmtId="0" fontId="159" fillId="2" borderId="0" xfId="0" applyFont="1" applyFill="1" applyAlignment="1">
      <alignment horizontal="left" vertical="top" wrapText="1"/>
    </xf>
    <xf numFmtId="0" fontId="160" fillId="2" borderId="0" xfId="0" applyFont="1" applyFill="1" applyAlignment="1">
      <alignment horizontal="left" vertical="top" wrapText="1"/>
    </xf>
    <xf numFmtId="174" fontId="159" fillId="2" borderId="0" xfId="2" applyNumberFormat="1" applyFont="1" applyFill="1" applyBorder="1" applyAlignment="1">
      <alignment horizontal="left" vertical="top" wrapText="1"/>
    </xf>
    <xf numFmtId="3" fontId="78" fillId="2" borderId="0" xfId="0" applyNumberFormat="1" applyFont="1" applyFill="1" applyAlignment="1">
      <alignment horizontal="left" vertical="top"/>
    </xf>
    <xf numFmtId="0" fontId="159" fillId="2" borderId="1" xfId="0" applyFont="1" applyFill="1" applyBorder="1" applyAlignment="1">
      <alignment horizontal="left" vertical="top" wrapText="1"/>
    </xf>
    <xf numFmtId="0" fontId="160" fillId="2" borderId="1" xfId="0" applyFont="1" applyFill="1" applyBorder="1" applyAlignment="1">
      <alignment horizontal="left" vertical="top" wrapText="1"/>
    </xf>
    <xf numFmtId="174" fontId="159" fillId="2" borderId="1" xfId="2" applyNumberFormat="1" applyFont="1" applyFill="1" applyBorder="1" applyAlignment="1">
      <alignment horizontal="left" vertical="top" wrapText="1"/>
    </xf>
    <xf numFmtId="0" fontId="160" fillId="2" borderId="27" xfId="0" applyFont="1" applyFill="1" applyBorder="1" applyAlignment="1">
      <alignment horizontal="left" vertical="top" wrapText="1"/>
    </xf>
    <xf numFmtId="174" fontId="160" fillId="2" borderId="27" xfId="2" applyNumberFormat="1" applyFont="1" applyFill="1" applyBorder="1" applyAlignment="1">
      <alignment horizontal="left" vertical="top" wrapText="1"/>
    </xf>
    <xf numFmtId="174" fontId="160" fillId="2" borderId="0" xfId="2" applyNumberFormat="1" applyFont="1" applyFill="1" applyBorder="1" applyAlignment="1">
      <alignment horizontal="left" vertical="top" wrapText="1"/>
    </xf>
    <xf numFmtId="9" fontId="78" fillId="2" borderId="0" xfId="0" applyNumberFormat="1" applyFont="1" applyFill="1" applyAlignment="1">
      <alignment horizontal="left" vertical="top"/>
    </xf>
    <xf numFmtId="174" fontId="160" fillId="2" borderId="1" xfId="2" applyNumberFormat="1" applyFont="1" applyFill="1" applyBorder="1" applyAlignment="1">
      <alignment horizontal="left" vertical="top" wrapText="1"/>
    </xf>
    <xf numFmtId="0" fontId="160" fillId="2" borderId="2" xfId="0" applyFont="1" applyFill="1" applyBorder="1" applyAlignment="1">
      <alignment horizontal="left" vertical="top" wrapText="1"/>
    </xf>
    <xf numFmtId="174" fontId="160" fillId="2" borderId="2" xfId="2" applyNumberFormat="1" applyFont="1" applyFill="1" applyBorder="1" applyAlignment="1">
      <alignment horizontal="left" vertical="top" wrapText="1"/>
    </xf>
    <xf numFmtId="174" fontId="92" fillId="2" borderId="0" xfId="2" applyNumberFormat="1" applyFont="1" applyFill="1" applyBorder="1" applyAlignment="1">
      <alignment horizontal="left" vertical="top"/>
    </xf>
    <xf numFmtId="0" fontId="9" fillId="2" borderId="1" xfId="0" applyFont="1" applyFill="1" applyBorder="1" applyAlignment="1">
      <alignment horizontal="left" vertical="top" wrapText="1"/>
    </xf>
    <xf numFmtId="0" fontId="141" fillId="2" borderId="0" xfId="522" applyFont="1" applyFill="1" applyBorder="1" applyAlignment="1">
      <alignment horizontal="left" vertical="top" wrapText="1"/>
    </xf>
    <xf numFmtId="0" fontId="5" fillId="2" borderId="0" xfId="0" applyFont="1" applyFill="1" applyAlignment="1">
      <alignment horizontal="left" vertical="top" wrapText="1"/>
    </xf>
    <xf numFmtId="0" fontId="141" fillId="2" borderId="1" xfId="522" applyFont="1" applyFill="1" applyBorder="1" applyAlignment="1">
      <alignment horizontal="left" vertical="top" wrapText="1"/>
    </xf>
    <xf numFmtId="0" fontId="5" fillId="2" borderId="1" xfId="0" applyFont="1" applyFill="1" applyBorder="1" applyAlignment="1">
      <alignment horizontal="left" vertical="top" wrapText="1"/>
    </xf>
    <xf numFmtId="0" fontId="141" fillId="2" borderId="27" xfId="522"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2" xfId="0" applyFont="1" applyFill="1" applyBorder="1" applyAlignment="1">
      <alignment horizontal="left" vertical="top" wrapText="1"/>
    </xf>
    <xf numFmtId="0" fontId="141" fillId="2" borderId="2" xfId="522" applyFont="1" applyFill="1" applyBorder="1" applyAlignment="1">
      <alignment horizontal="left" vertical="top" wrapText="1"/>
    </xf>
    <xf numFmtId="0" fontId="5" fillId="2" borderId="0" xfId="0" applyFont="1" applyFill="1" applyAlignment="1">
      <alignment horizontal="left" vertical="top"/>
    </xf>
    <xf numFmtId="0" fontId="107" fillId="56" borderId="0" xfId="522" applyFont="1" applyFill="1" applyBorder="1"/>
    <xf numFmtId="3" fontId="161" fillId="0" borderId="0" xfId="0" applyNumberFormat="1" applyFont="1" applyAlignment="1">
      <alignment vertical="center"/>
    </xf>
    <xf numFmtId="3" fontId="161" fillId="0" borderId="34" xfId="0" applyNumberFormat="1" applyFont="1" applyBorder="1" applyAlignment="1">
      <alignment vertical="center"/>
    </xf>
    <xf numFmtId="3" fontId="162" fillId="0" borderId="0" xfId="1" applyNumberFormat="1" applyFont="1" applyFill="1" applyBorder="1" applyAlignment="1">
      <alignment horizontal="right" vertical="center"/>
    </xf>
    <xf numFmtId="3" fontId="162" fillId="0" borderId="34" xfId="1" applyNumberFormat="1" applyFont="1" applyFill="1" applyBorder="1" applyAlignment="1">
      <alignment horizontal="right" vertical="center"/>
    </xf>
    <xf numFmtId="3" fontId="162" fillId="0" borderId="0" xfId="1" quotePrefix="1" applyNumberFormat="1" applyFont="1" applyFill="1" applyBorder="1" applyAlignment="1">
      <alignment horizontal="right" vertical="center"/>
    </xf>
    <xf numFmtId="3" fontId="162" fillId="0" borderId="34" xfId="1" quotePrefix="1" applyNumberFormat="1" applyFont="1" applyFill="1" applyBorder="1" applyAlignment="1">
      <alignment horizontal="right" vertical="center"/>
    </xf>
    <xf numFmtId="3" fontId="163" fillId="3" borderId="0" xfId="0" applyNumberFormat="1" applyFont="1" applyFill="1" applyAlignment="1">
      <alignment vertical="center"/>
    </xf>
    <xf numFmtId="3" fontId="163" fillId="3" borderId="34" xfId="0" applyNumberFormat="1" applyFont="1" applyFill="1" applyBorder="1" applyAlignment="1">
      <alignment vertical="center"/>
    </xf>
    <xf numFmtId="3" fontId="161" fillId="2" borderId="0" xfId="0" applyNumberFormat="1" applyFont="1" applyFill="1" applyAlignment="1">
      <alignment vertical="center"/>
    </xf>
    <xf numFmtId="3" fontId="161" fillId="2" borderId="34" xfId="0" applyNumberFormat="1" applyFont="1" applyFill="1" applyBorder="1" applyAlignment="1">
      <alignment vertical="center"/>
    </xf>
    <xf numFmtId="170" fontId="161" fillId="0" borderId="0" xfId="1" applyNumberFormat="1" applyFont="1" applyFill="1" applyBorder="1" applyAlignment="1">
      <alignment horizontal="right" vertical="center"/>
    </xf>
    <xf numFmtId="170" fontId="161" fillId="0" borderId="39" xfId="1" applyNumberFormat="1" applyFont="1" applyFill="1" applyBorder="1" applyAlignment="1">
      <alignment horizontal="right" vertical="center"/>
    </xf>
    <xf numFmtId="170" fontId="161" fillId="0" borderId="0" xfId="1" quotePrefix="1" applyNumberFormat="1" applyFont="1" applyFill="1" applyBorder="1" applyAlignment="1">
      <alignment horizontal="right" vertical="center"/>
    </xf>
    <xf numFmtId="170" fontId="161" fillId="0" borderId="34" xfId="1" quotePrefix="1" applyNumberFormat="1" applyFont="1" applyFill="1" applyBorder="1" applyAlignment="1">
      <alignment horizontal="right" vertical="center"/>
    </xf>
    <xf numFmtId="3" fontId="161" fillId="2" borderId="39" xfId="0" applyNumberFormat="1" applyFont="1" applyFill="1" applyBorder="1" applyAlignment="1">
      <alignment vertical="center"/>
    </xf>
    <xf numFmtId="170" fontId="161" fillId="0" borderId="34" xfId="1" applyNumberFormat="1" applyFont="1" applyFill="1" applyBorder="1" applyAlignment="1">
      <alignment horizontal="right" vertical="center"/>
    </xf>
    <xf numFmtId="9" fontId="161" fillId="0" borderId="0" xfId="1" applyFont="1" applyFill="1" applyBorder="1" applyAlignment="1">
      <alignment vertical="center"/>
    </xf>
    <xf numFmtId="9" fontId="161" fillId="0" borderId="39" xfId="1" applyFont="1" applyFill="1" applyBorder="1" applyAlignment="1">
      <alignment vertical="center"/>
    </xf>
    <xf numFmtId="9" fontId="161" fillId="0" borderId="34" xfId="1" applyFont="1" applyFill="1" applyBorder="1" applyAlignment="1">
      <alignment vertical="center"/>
    </xf>
    <xf numFmtId="3" fontId="161" fillId="0" borderId="0" xfId="0" applyNumberFormat="1" applyFont="1"/>
    <xf numFmtId="3" fontId="161" fillId="0" borderId="34" xfId="0" applyNumberFormat="1" applyFont="1" applyBorder="1"/>
    <xf numFmtId="3" fontId="161" fillId="0" borderId="39" xfId="0" applyNumberFormat="1" applyFont="1" applyBorder="1" applyAlignment="1">
      <alignment vertical="center"/>
    </xf>
    <xf numFmtId="3" fontId="78" fillId="0" borderId="0" xfId="0" applyNumberFormat="1" applyFont="1" applyAlignment="1">
      <alignment vertical="center"/>
    </xf>
    <xf numFmtId="0" fontId="161" fillId="54" borderId="0" xfId="0" applyFont="1" applyFill="1"/>
    <xf numFmtId="0" fontId="162" fillId="57" borderId="0" xfId="0" applyFont="1" applyFill="1"/>
    <xf numFmtId="0" fontId="164" fillId="0" borderId="0" xfId="0" applyFont="1" applyAlignment="1">
      <alignment horizontal="right"/>
    </xf>
    <xf numFmtId="3" fontId="165" fillId="3" borderId="0" xfId="0" applyNumberFormat="1" applyFont="1" applyFill="1"/>
    <xf numFmtId="3" fontId="164" fillId="0" borderId="0" xfId="0" applyNumberFormat="1" applyFont="1"/>
    <xf numFmtId="3" fontId="165" fillId="3" borderId="34" xfId="0" applyNumberFormat="1" applyFont="1" applyFill="1" applyBorder="1"/>
    <xf numFmtId="3" fontId="164" fillId="0" borderId="34" xfId="0" applyNumberFormat="1" applyFont="1" applyBorder="1"/>
    <xf numFmtId="0" fontId="166" fillId="0" borderId="0" xfId="0" applyFont="1"/>
    <xf numFmtId="9" fontId="164" fillId="0" borderId="3" xfId="1" applyFont="1" applyBorder="1"/>
    <xf numFmtId="9" fontId="164" fillId="0" borderId="0" xfId="1" applyFont="1" applyBorder="1"/>
    <xf numFmtId="9" fontId="164" fillId="0" borderId="34" xfId="1" applyFont="1" applyBorder="1"/>
    <xf numFmtId="0" fontId="9" fillId="2" borderId="6" xfId="0" applyFont="1" applyFill="1" applyBorder="1" applyAlignment="1">
      <alignment vertical="center" wrapText="1"/>
    </xf>
    <xf numFmtId="0" fontId="9" fillId="2" borderId="35" xfId="0" applyFont="1" applyFill="1" applyBorder="1" applyAlignment="1">
      <alignment horizontal="right" vertical="center"/>
    </xf>
    <xf numFmtId="3" fontId="9" fillId="2" borderId="34" xfId="0" applyNumberFormat="1" applyFont="1" applyFill="1" applyBorder="1" applyAlignment="1">
      <alignment horizontal="right" vertical="center"/>
    </xf>
    <xf numFmtId="3" fontId="5" fillId="2" borderId="34" xfId="0" applyNumberFormat="1" applyFont="1" applyFill="1" applyBorder="1" applyAlignment="1">
      <alignment horizontal="right" vertical="center"/>
    </xf>
    <xf numFmtId="0" fontId="106" fillId="0" borderId="32" xfId="0" applyFont="1" applyBorder="1" applyAlignment="1">
      <alignment horizontal="left" vertical="center"/>
    </xf>
    <xf numFmtId="0" fontId="5" fillId="0" borderId="32" xfId="0" applyFont="1" applyBorder="1"/>
    <xf numFmtId="0" fontId="7" fillId="0" borderId="32" xfId="0" applyFont="1" applyBorder="1"/>
    <xf numFmtId="174" fontId="5" fillId="0" borderId="0" xfId="2" applyNumberFormat="1" applyFont="1"/>
    <xf numFmtId="0" fontId="5" fillId="2" borderId="0" xfId="4" applyFont="1" applyFill="1" applyAlignment="1">
      <alignment horizontal="right" vertical="top" wrapText="1"/>
    </xf>
    <xf numFmtId="0" fontId="9" fillId="0" borderId="1" xfId="0" applyFont="1" applyBorder="1" applyAlignment="1">
      <alignment horizontal="left" vertical="center"/>
    </xf>
    <xf numFmtId="0" fontId="9" fillId="0" borderId="1" xfId="0" applyFont="1" applyBorder="1" applyAlignment="1">
      <alignment horizontal="center"/>
    </xf>
    <xf numFmtId="0" fontId="9" fillId="0" borderId="1" xfId="0" applyFont="1" applyBorder="1" applyAlignment="1">
      <alignment horizontal="right"/>
    </xf>
    <xf numFmtId="0" fontId="106" fillId="0" borderId="1" xfId="0" applyFont="1" applyBorder="1" applyAlignment="1">
      <alignment horizontal="right" vertical="center"/>
    </xf>
    <xf numFmtId="0" fontId="106" fillId="0" borderId="47" xfId="0" applyFont="1" applyBorder="1" applyAlignment="1">
      <alignment horizontal="right" vertical="center"/>
    </xf>
    <xf numFmtId="0" fontId="9" fillId="0" borderId="47" xfId="0" applyFont="1" applyBorder="1" applyAlignment="1">
      <alignment horizontal="right"/>
    </xf>
    <xf numFmtId="2" fontId="78" fillId="2" borderId="34" xfId="0" applyNumberFormat="1" applyFont="1" applyFill="1" applyBorder="1" applyAlignment="1">
      <alignment horizontal="right"/>
    </xf>
    <xf numFmtId="9" fontId="78" fillId="2" borderId="34" xfId="0" applyNumberFormat="1" applyFont="1" applyFill="1" applyBorder="1" applyAlignment="1">
      <alignment horizontal="right"/>
    </xf>
    <xf numFmtId="0" fontId="167" fillId="55" borderId="0" xfId="522" applyFont="1" applyFill="1"/>
    <xf numFmtId="14" fontId="92" fillId="2" borderId="0" xfId="0" applyNumberFormat="1" applyFont="1" applyFill="1" applyAlignment="1">
      <alignment horizontal="left" vertical="top" wrapText="1"/>
    </xf>
    <xf numFmtId="0" fontId="168" fillId="2" borderId="0" xfId="522" applyFont="1" applyFill="1" applyBorder="1" applyAlignment="1">
      <alignment horizontal="left" vertical="top" wrapText="1"/>
    </xf>
    <xf numFmtId="174" fontId="92" fillId="2" borderId="0" xfId="2" applyNumberFormat="1" applyFont="1" applyFill="1" applyBorder="1" applyAlignment="1">
      <alignment horizontal="left" vertical="top" wrapText="1"/>
    </xf>
    <xf numFmtId="0" fontId="5" fillId="57" borderId="0" xfId="0" applyFont="1" applyFill="1"/>
    <xf numFmtId="1" fontId="9" fillId="2" borderId="0" xfId="0" applyNumberFormat="1" applyFont="1" applyFill="1" applyAlignment="1">
      <alignment horizontal="right" vertical="center" wrapText="1"/>
    </xf>
    <xf numFmtId="3" fontId="9" fillId="2" borderId="0" xfId="0" applyNumberFormat="1" applyFont="1" applyFill="1" applyAlignment="1">
      <alignment horizontal="right" vertical="center" wrapText="1"/>
    </xf>
    <xf numFmtId="3" fontId="9"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2" fontId="9" fillId="2" borderId="0" xfId="0" applyNumberFormat="1" applyFont="1" applyFill="1" applyAlignment="1">
      <alignment horizontal="right" vertical="center" wrapText="1"/>
    </xf>
    <xf numFmtId="3" fontId="9" fillId="0" borderId="0" xfId="0" applyNumberFormat="1" applyFont="1"/>
    <xf numFmtId="9" fontId="82" fillId="0" borderId="34" xfId="1" applyFont="1" applyBorder="1"/>
    <xf numFmtId="0" fontId="5" fillId="0" borderId="39" xfId="0" applyFont="1" applyBorder="1"/>
    <xf numFmtId="0" fontId="148" fillId="0" borderId="34" xfId="7" applyFont="1" applyBorder="1" applyAlignment="1">
      <alignment vertical="top" wrapText="1"/>
    </xf>
    <xf numFmtId="0" fontId="5" fillId="0" borderId="0" xfId="4" applyFont="1" applyAlignment="1" applyProtection="1">
      <alignment vertical="top" wrapText="1"/>
      <protection locked="0"/>
    </xf>
    <xf numFmtId="167" fontId="82" fillId="0" borderId="0" xfId="2" applyFont="1" applyBorder="1"/>
    <xf numFmtId="167" fontId="82" fillId="0" borderId="0" xfId="0" applyNumberFormat="1" applyFont="1"/>
    <xf numFmtId="3" fontId="79" fillId="0" borderId="0" xfId="0" applyNumberFormat="1" applyFont="1" applyAlignment="1" applyProtection="1">
      <alignment vertical="top" wrapText="1"/>
      <protection locked="0"/>
    </xf>
    <xf numFmtId="3" fontId="93" fillId="0" borderId="0" xfId="0" applyNumberFormat="1" applyFont="1" applyAlignment="1">
      <alignment vertical="top" wrapText="1"/>
    </xf>
    <xf numFmtId="3" fontId="108" fillId="0" borderId="0" xfId="0" applyNumberFormat="1" applyFont="1" applyAlignment="1" applyProtection="1">
      <alignment vertical="top" wrapText="1"/>
      <protection locked="0"/>
    </xf>
    <xf numFmtId="3" fontId="79" fillId="0" borderId="34" xfId="0" quotePrefix="1" applyNumberFormat="1" applyFont="1" applyBorder="1" applyAlignment="1">
      <alignment vertical="top" wrapText="1"/>
    </xf>
    <xf numFmtId="3" fontId="79" fillId="0" borderId="0" xfId="0" quotePrefix="1" applyNumberFormat="1" applyFont="1" applyAlignment="1">
      <alignment vertical="top" wrapText="1"/>
    </xf>
    <xf numFmtId="2" fontId="78" fillId="2" borderId="0" xfId="0" applyNumberFormat="1" applyFont="1" applyFill="1" applyAlignment="1">
      <alignment horizontal="right"/>
    </xf>
    <xf numFmtId="9" fontId="78" fillId="2" borderId="0" xfId="0" applyNumberFormat="1" applyFont="1" applyFill="1" applyAlignment="1">
      <alignment horizontal="right"/>
    </xf>
    <xf numFmtId="14" fontId="159" fillId="2" borderId="0" xfId="0" applyNumberFormat="1" applyFont="1" applyFill="1" applyAlignment="1">
      <alignment horizontal="left" vertical="top" wrapText="1"/>
    </xf>
    <xf numFmtId="172" fontId="5" fillId="2" borderId="32" xfId="0" applyNumberFormat="1" applyFont="1" applyFill="1" applyBorder="1" applyAlignment="1" applyProtection="1">
      <alignment vertical="top" wrapText="1"/>
      <protection locked="0"/>
    </xf>
    <xf numFmtId="0" fontId="92" fillId="0" borderId="1" xfId="0" applyFont="1" applyBorder="1"/>
    <xf numFmtId="193" fontId="5" fillId="0" borderId="34" xfId="0" applyNumberFormat="1" applyFont="1" applyBorder="1"/>
    <xf numFmtId="9" fontId="78" fillId="2" borderId="27" xfId="0" applyNumberFormat="1" applyFont="1" applyFill="1" applyBorder="1" applyAlignment="1">
      <alignment horizontal="left" vertical="top"/>
    </xf>
    <xf numFmtId="170" fontId="82" fillId="58" borderId="0" xfId="1" applyNumberFormat="1" applyFont="1" applyFill="1" applyAlignment="1">
      <alignment vertical="center"/>
    </xf>
    <xf numFmtId="170" fontId="82" fillId="0" borderId="0" xfId="1" applyNumberFormat="1" applyFont="1"/>
    <xf numFmtId="170" fontId="82" fillId="58" borderId="34" xfId="1" applyNumberFormat="1" applyFont="1" applyFill="1" applyBorder="1" applyAlignment="1">
      <alignment vertical="center"/>
    </xf>
    <xf numFmtId="2" fontId="82" fillId="58" borderId="34" xfId="2" applyNumberFormat="1" applyFont="1" applyFill="1" applyBorder="1" applyAlignment="1">
      <alignment vertical="center"/>
    </xf>
    <xf numFmtId="172" fontId="82" fillId="58" borderId="0" xfId="0" applyNumberFormat="1" applyFont="1" applyFill="1" applyAlignment="1">
      <alignment vertical="center"/>
    </xf>
    <xf numFmtId="172" fontId="82" fillId="0" borderId="0" xfId="0" applyNumberFormat="1" applyFont="1" applyAlignment="1">
      <alignment vertical="center"/>
    </xf>
    <xf numFmtId="0" fontId="80" fillId="59" borderId="32" xfId="0" applyFont="1" applyFill="1" applyBorder="1"/>
    <xf numFmtId="0" fontId="78" fillId="59" borderId="32" xfId="0" applyFont="1" applyFill="1" applyBorder="1"/>
    <xf numFmtId="0" fontId="78" fillId="59" borderId="35" xfId="0" applyFont="1" applyFill="1" applyBorder="1"/>
    <xf numFmtId="174" fontId="79" fillId="2" borderId="0" xfId="2" applyNumberFormat="1" applyFont="1" applyFill="1" applyBorder="1" applyAlignment="1" applyProtection="1">
      <alignment horizontal="right" vertical="top" wrapText="1"/>
      <protection locked="0"/>
    </xf>
    <xf numFmtId="9" fontId="5" fillId="2" borderId="0" xfId="1" applyFont="1" applyFill="1" applyBorder="1" applyAlignment="1" applyProtection="1">
      <alignment horizontal="right" vertical="top" wrapText="1"/>
      <protection locked="0"/>
    </xf>
    <xf numFmtId="0" fontId="5" fillId="2" borderId="0" xfId="4" applyFont="1" applyFill="1" applyAlignment="1">
      <alignment horizontal="left" vertical="top" wrapText="1"/>
    </xf>
    <xf numFmtId="0" fontId="109" fillId="2" borderId="0" xfId="0" applyFont="1" applyFill="1"/>
    <xf numFmtId="209" fontId="106" fillId="0" borderId="0" xfId="0" applyNumberFormat="1" applyFont="1" applyAlignment="1">
      <alignment vertical="center"/>
    </xf>
    <xf numFmtId="209" fontId="106" fillId="0" borderId="34" xfId="0" applyNumberFormat="1" applyFont="1" applyBorder="1" applyAlignment="1">
      <alignment vertical="center"/>
    </xf>
    <xf numFmtId="172" fontId="82" fillId="0" borderId="34" xfId="0" applyNumberFormat="1" applyFont="1" applyBorder="1" applyAlignment="1">
      <alignment vertical="center"/>
    </xf>
    <xf numFmtId="9" fontId="82" fillId="73" borderId="0" xfId="1" applyFont="1" applyFill="1" applyBorder="1" applyAlignment="1">
      <alignment vertical="center"/>
    </xf>
    <xf numFmtId="3" fontId="87" fillId="73" borderId="0" xfId="1" applyNumberFormat="1" applyFont="1" applyFill="1" applyBorder="1" applyAlignment="1">
      <alignment horizontal="right" vertical="center"/>
    </xf>
    <xf numFmtId="3" fontId="87" fillId="73" borderId="34" xfId="1" applyNumberFormat="1" applyFont="1" applyFill="1" applyBorder="1" applyAlignment="1">
      <alignment horizontal="right" vertical="center"/>
    </xf>
    <xf numFmtId="3" fontId="87" fillId="73" borderId="0" xfId="1" quotePrefix="1" applyNumberFormat="1" applyFont="1" applyFill="1" applyBorder="1" applyAlignment="1">
      <alignment horizontal="right" vertical="center"/>
    </xf>
    <xf numFmtId="3" fontId="87" fillId="73" borderId="34" xfId="1" quotePrefix="1" applyNumberFormat="1" applyFont="1" applyFill="1" applyBorder="1" applyAlignment="1">
      <alignment horizontal="right" vertical="center"/>
    </xf>
    <xf numFmtId="0" fontId="87" fillId="73" borderId="0" xfId="0" applyFont="1" applyFill="1"/>
    <xf numFmtId="3" fontId="82" fillId="73" borderId="0" xfId="0" applyNumberFormat="1" applyFont="1" applyFill="1" applyAlignment="1">
      <alignment vertical="center"/>
    </xf>
    <xf numFmtId="3" fontId="82" fillId="73" borderId="0" xfId="0" applyNumberFormat="1" applyFont="1" applyFill="1"/>
    <xf numFmtId="3" fontId="82" fillId="73" borderId="34" xfId="0" applyNumberFormat="1" applyFont="1" applyFill="1" applyBorder="1" applyAlignment="1">
      <alignment vertical="center"/>
    </xf>
    <xf numFmtId="3" fontId="82" fillId="73" borderId="34" xfId="0" applyNumberFormat="1" applyFont="1" applyFill="1" applyBorder="1"/>
    <xf numFmtId="14" fontId="92" fillId="2" borderId="1" xfId="0" applyNumberFormat="1" applyFont="1" applyFill="1" applyBorder="1" applyAlignment="1">
      <alignment horizontal="left" vertical="top" wrapText="1"/>
    </xf>
    <xf numFmtId="0" fontId="92" fillId="2" borderId="1" xfId="0" applyFont="1" applyFill="1" applyBorder="1" applyAlignment="1">
      <alignment horizontal="left" vertical="top" wrapText="1"/>
    </xf>
    <xf numFmtId="174" fontId="92" fillId="2" borderId="1" xfId="2" applyNumberFormat="1" applyFont="1" applyFill="1" applyBorder="1" applyAlignment="1">
      <alignment horizontal="left" vertical="top" wrapText="1"/>
    </xf>
    <xf numFmtId="3" fontId="78" fillId="2" borderId="1" xfId="0" applyNumberFormat="1" applyFont="1" applyFill="1" applyBorder="1" applyAlignment="1">
      <alignment horizontal="left" vertical="top"/>
    </xf>
    <xf numFmtId="0" fontId="88" fillId="54" borderId="0" xfId="0" applyFont="1" applyFill="1" applyAlignment="1">
      <alignment horizontal="left" vertical="center"/>
    </xf>
    <xf numFmtId="0" fontId="84" fillId="54" borderId="0" xfId="0" applyFont="1" applyFill="1" applyAlignment="1">
      <alignment horizontal="left" vertical="center"/>
    </xf>
    <xf numFmtId="0" fontId="92" fillId="0" borderId="0" xfId="0" applyFont="1" applyAlignment="1">
      <alignment horizontal="left" vertical="center"/>
    </xf>
    <xf numFmtId="0" fontId="7" fillId="54" borderId="0" xfId="0" applyFont="1" applyFill="1" applyAlignment="1">
      <alignment horizontal="left" vertical="center"/>
    </xf>
    <xf numFmtId="0" fontId="91" fillId="74" borderId="0" xfId="0" applyFont="1" applyFill="1" applyAlignment="1">
      <alignment horizontal="left" vertical="center"/>
    </xf>
    <xf numFmtId="0" fontId="91" fillId="74" borderId="34" xfId="0" applyFont="1" applyFill="1" applyBorder="1" applyAlignment="1">
      <alignment horizontal="left" vertical="center"/>
    </xf>
    <xf numFmtId="0" fontId="91" fillId="74" borderId="3" xfId="0" applyFont="1" applyFill="1" applyBorder="1" applyAlignment="1">
      <alignment horizontal="left" vertical="center"/>
    </xf>
    <xf numFmtId="0" fontId="91" fillId="0" borderId="48" xfId="0" applyFont="1" applyBorder="1" applyAlignment="1">
      <alignment horizontal="left" vertical="center"/>
    </xf>
    <xf numFmtId="0" fontId="91" fillId="0" borderId="49" xfId="0" applyFont="1" applyBorder="1" applyAlignment="1">
      <alignment horizontal="left" vertical="center"/>
    </xf>
    <xf numFmtId="0" fontId="91" fillId="0" borderId="50" xfId="0" applyFont="1" applyBorder="1" applyAlignment="1">
      <alignment horizontal="left" vertical="center"/>
    </xf>
    <xf numFmtId="0" fontId="91" fillId="59" borderId="0" xfId="0" applyFont="1" applyFill="1" applyAlignment="1">
      <alignment horizontal="left" vertical="center"/>
    </xf>
    <xf numFmtId="3" fontId="91" fillId="59" borderId="34" xfId="0" applyNumberFormat="1" applyFont="1" applyFill="1" applyBorder="1" applyAlignment="1">
      <alignment horizontal="left" vertical="center"/>
    </xf>
    <xf numFmtId="3" fontId="91" fillId="59" borderId="0" xfId="0" applyNumberFormat="1" applyFont="1" applyFill="1" applyAlignment="1">
      <alignment horizontal="left" vertical="center"/>
    </xf>
    <xf numFmtId="3" fontId="91" fillId="59" borderId="3" xfId="0" applyNumberFormat="1" applyFont="1" applyFill="1" applyBorder="1" applyAlignment="1">
      <alignment horizontal="left" vertical="center"/>
    </xf>
    <xf numFmtId="3" fontId="92" fillId="0" borderId="34" xfId="0" applyNumberFormat="1" applyFont="1" applyBorder="1" applyAlignment="1">
      <alignment horizontal="left" vertical="center"/>
    </xf>
    <xf numFmtId="3" fontId="92" fillId="0" borderId="0" xfId="0" applyNumberFormat="1" applyFont="1" applyAlignment="1">
      <alignment horizontal="left" vertical="center"/>
    </xf>
    <xf numFmtId="210" fontId="92" fillId="0" borderId="0" xfId="0" applyNumberFormat="1" applyFont="1" applyAlignment="1">
      <alignment horizontal="left" vertical="center"/>
    </xf>
    <xf numFmtId="210" fontId="92" fillId="0" borderId="34" xfId="0" applyNumberFormat="1" applyFont="1" applyBorder="1" applyAlignment="1">
      <alignment horizontal="left" vertical="center"/>
    </xf>
    <xf numFmtId="210" fontId="92" fillId="0" borderId="3" xfId="0" applyNumberFormat="1" applyFont="1" applyBorder="1" applyAlignment="1">
      <alignment horizontal="left" vertical="center"/>
    </xf>
    <xf numFmtId="0" fontId="92" fillId="0" borderId="1" xfId="0" applyFont="1" applyBorder="1" applyAlignment="1">
      <alignment horizontal="left" vertical="center"/>
    </xf>
    <xf numFmtId="3" fontId="92" fillId="0" borderId="47" xfId="0" applyNumberFormat="1" applyFont="1" applyBorder="1" applyAlignment="1">
      <alignment horizontal="left" vertical="center"/>
    </xf>
    <xf numFmtId="170" fontId="92" fillId="0" borderId="0" xfId="1" applyNumberFormat="1" applyFont="1" applyBorder="1" applyAlignment="1">
      <alignment horizontal="left" vertical="center"/>
    </xf>
    <xf numFmtId="170" fontId="92" fillId="0" borderId="34" xfId="1" applyNumberFormat="1" applyFont="1" applyBorder="1" applyAlignment="1">
      <alignment horizontal="left" vertical="center"/>
    </xf>
    <xf numFmtId="170" fontId="92" fillId="0" borderId="3" xfId="1" applyNumberFormat="1" applyFont="1" applyBorder="1" applyAlignment="1">
      <alignment horizontal="left" vertical="center"/>
    </xf>
    <xf numFmtId="170" fontId="92" fillId="0" borderId="1" xfId="1" applyNumberFormat="1" applyFont="1" applyBorder="1" applyAlignment="1">
      <alignment horizontal="left" vertical="center"/>
    </xf>
    <xf numFmtId="170" fontId="92" fillId="0" borderId="47" xfId="1" applyNumberFormat="1" applyFont="1" applyBorder="1" applyAlignment="1">
      <alignment horizontal="left" vertical="center"/>
    </xf>
    <xf numFmtId="170" fontId="92" fillId="0" borderId="4" xfId="1" applyNumberFormat="1" applyFont="1" applyBorder="1" applyAlignment="1">
      <alignment horizontal="left" vertical="center"/>
    </xf>
    <xf numFmtId="0" fontId="93" fillId="0" borderId="0" xfId="0" applyFont="1" applyAlignment="1">
      <alignment horizontal="left" vertical="center"/>
    </xf>
    <xf numFmtId="0" fontId="91" fillId="75" borderId="0" xfId="0" applyFont="1" applyFill="1" applyAlignment="1">
      <alignment horizontal="left" vertical="center"/>
    </xf>
    <xf numFmtId="0" fontId="91" fillId="75" borderId="34" xfId="0" applyFont="1" applyFill="1" applyBorder="1" applyAlignment="1">
      <alignment horizontal="left" vertical="center"/>
    </xf>
    <xf numFmtId="0" fontId="91" fillId="75" borderId="3" xfId="0" applyFont="1" applyFill="1" applyBorder="1" applyAlignment="1">
      <alignment horizontal="left" vertical="center"/>
    </xf>
    <xf numFmtId="0" fontId="91" fillId="76" borderId="0" xfId="0" applyFont="1" applyFill="1" applyAlignment="1">
      <alignment horizontal="left" vertical="center"/>
    </xf>
    <xf numFmtId="0" fontId="91" fillId="76" borderId="34" xfId="0" applyFont="1" applyFill="1" applyBorder="1" applyAlignment="1">
      <alignment horizontal="left" vertical="center"/>
    </xf>
    <xf numFmtId="0" fontId="91" fillId="76" borderId="3" xfId="0" applyFont="1" applyFill="1" applyBorder="1" applyAlignment="1">
      <alignment horizontal="left" vertical="center"/>
    </xf>
    <xf numFmtId="0" fontId="148" fillId="0" borderId="0" xfId="0" applyFont="1" applyAlignment="1">
      <alignment horizontal="left" vertical="center"/>
    </xf>
    <xf numFmtId="3" fontId="148" fillId="0" borderId="34" xfId="0" applyNumberFormat="1" applyFont="1" applyBorder="1" applyAlignment="1">
      <alignment horizontal="left" vertical="center"/>
    </xf>
    <xf numFmtId="3" fontId="148" fillId="0" borderId="0" xfId="0" applyNumberFormat="1" applyFont="1" applyAlignment="1">
      <alignment horizontal="left" vertical="center"/>
    </xf>
    <xf numFmtId="170" fontId="82" fillId="2" borderId="34" xfId="1" applyNumberFormat="1" applyFont="1" applyFill="1" applyBorder="1" applyAlignment="1">
      <alignment horizontal="right" vertical="center"/>
    </xf>
    <xf numFmtId="170" fontId="161" fillId="2" borderId="0" xfId="1" applyNumberFormat="1" applyFont="1" applyFill="1" applyBorder="1" applyAlignment="1">
      <alignment horizontal="right" vertical="center"/>
    </xf>
    <xf numFmtId="170" fontId="161" fillId="2" borderId="39" xfId="1" applyNumberFormat="1" applyFont="1" applyFill="1" applyBorder="1" applyAlignment="1">
      <alignment horizontal="right" vertical="center"/>
    </xf>
    <xf numFmtId="170" fontId="161" fillId="2" borderId="34" xfId="1" applyNumberFormat="1" applyFont="1" applyFill="1" applyBorder="1" applyAlignment="1">
      <alignment horizontal="right" vertical="center"/>
    </xf>
    <xf numFmtId="0" fontId="82" fillId="2" borderId="0" xfId="0" applyFont="1" applyFill="1"/>
    <xf numFmtId="172" fontId="82" fillId="2" borderId="0" xfId="0" applyNumberFormat="1" applyFont="1" applyFill="1" applyAlignment="1">
      <alignment vertical="center"/>
    </xf>
    <xf numFmtId="0" fontId="79" fillId="2" borderId="0" xfId="0" applyFont="1" applyFill="1" applyAlignment="1">
      <alignment horizontal="left" wrapText="1"/>
    </xf>
    <xf numFmtId="0" fontId="9" fillId="2" borderId="0" xfId="0" applyFont="1" applyFill="1" applyAlignment="1">
      <alignment horizontal="right"/>
    </xf>
    <xf numFmtId="0" fontId="9" fillId="2" borderId="34" xfId="0" applyFont="1" applyFill="1" applyBorder="1" applyAlignment="1">
      <alignment horizontal="right"/>
    </xf>
    <xf numFmtId="0" fontId="79" fillId="2" borderId="0" xfId="7" applyFont="1" applyFill="1" applyAlignment="1">
      <alignment vertical="top" wrapText="1"/>
    </xf>
    <xf numFmtId="172" fontId="78" fillId="0" borderId="34" xfId="0" applyNumberFormat="1" applyFont="1" applyBorder="1"/>
    <xf numFmtId="170" fontId="106" fillId="58" borderId="0" xfId="1" applyNumberFormat="1" applyFont="1" applyFill="1" applyAlignment="1">
      <alignment vertical="center"/>
    </xf>
    <xf numFmtId="0" fontId="78" fillId="2" borderId="0" xfId="0" quotePrefix="1" applyFont="1" applyFill="1"/>
    <xf numFmtId="0" fontId="78" fillId="2" borderId="0" xfId="0" quotePrefix="1" applyFont="1" applyFill="1" applyAlignment="1">
      <alignment horizontal="right"/>
    </xf>
    <xf numFmtId="9" fontId="78" fillId="2" borderId="0" xfId="0" quotePrefix="1" applyNumberFormat="1" applyFont="1" applyFill="1" applyAlignment="1">
      <alignment horizontal="right"/>
    </xf>
    <xf numFmtId="9" fontId="92" fillId="0" borderId="34" xfId="1" applyFont="1" applyBorder="1" applyAlignment="1">
      <alignment horizontal="left" vertical="center"/>
    </xf>
    <xf numFmtId="9" fontId="92" fillId="0" borderId="47" xfId="1" applyFont="1" applyBorder="1" applyAlignment="1">
      <alignment horizontal="left" vertical="center"/>
    </xf>
    <xf numFmtId="173" fontId="82" fillId="2" borderId="0" xfId="0" applyNumberFormat="1" applyFont="1" applyFill="1"/>
    <xf numFmtId="173" fontId="78" fillId="2" borderId="34" xfId="0" applyNumberFormat="1" applyFont="1" applyFill="1" applyBorder="1"/>
    <xf numFmtId="3" fontId="103" fillId="2" borderId="0" xfId="0" applyNumberFormat="1" applyFont="1" applyFill="1" applyAlignment="1">
      <alignment horizontal="right" vertical="center"/>
    </xf>
    <xf numFmtId="3" fontId="100" fillId="2" borderId="0" xfId="0" applyNumberFormat="1" applyFont="1" applyFill="1" applyAlignment="1">
      <alignment horizontal="right" vertical="center"/>
    </xf>
    <xf numFmtId="3" fontId="103" fillId="2" borderId="0" xfId="0" applyNumberFormat="1" applyFont="1" applyFill="1"/>
    <xf numFmtId="3" fontId="103" fillId="2" borderId="34" xfId="0" applyNumberFormat="1" applyFont="1" applyFill="1" applyBorder="1"/>
    <xf numFmtId="3" fontId="92" fillId="2" borderId="0" xfId="0" applyNumberFormat="1" applyFont="1" applyFill="1" applyAlignment="1" applyProtection="1">
      <alignment horizontal="right"/>
      <protection locked="0"/>
    </xf>
    <xf numFmtId="3" fontId="92" fillId="2" borderId="34" xfId="0" applyNumberFormat="1" applyFont="1" applyFill="1" applyBorder="1" applyAlignment="1" applyProtection="1">
      <alignment horizontal="right"/>
      <protection locked="0"/>
    </xf>
    <xf numFmtId="170" fontId="106" fillId="0" borderId="0" xfId="1" applyNumberFormat="1" applyFont="1"/>
    <xf numFmtId="170" fontId="106" fillId="58" borderId="34" xfId="1" applyNumberFormat="1" applyFont="1" applyFill="1" applyBorder="1" applyAlignment="1">
      <alignment vertical="center"/>
    </xf>
    <xf numFmtId="0" fontId="106" fillId="0" borderId="0" xfId="0" applyFont="1"/>
    <xf numFmtId="0" fontId="78" fillId="2" borderId="0" xfId="0" applyFont="1" applyFill="1" applyAlignment="1">
      <alignment horizontal="left" vertical="top" wrapText="1"/>
    </xf>
    <xf numFmtId="3" fontId="5" fillId="0" borderId="34" xfId="0" applyNumberFormat="1" applyFont="1" applyBorder="1" applyAlignment="1">
      <alignment horizontal="left" vertical="center"/>
    </xf>
    <xf numFmtId="210" fontId="5" fillId="0" borderId="0" xfId="0" applyNumberFormat="1" applyFont="1" applyAlignment="1">
      <alignment horizontal="left" vertical="center"/>
    </xf>
    <xf numFmtId="210" fontId="5" fillId="0" borderId="34" xfId="0" applyNumberFormat="1" applyFont="1" applyBorder="1" applyAlignment="1">
      <alignment horizontal="left" vertical="center"/>
    </xf>
    <xf numFmtId="210" fontId="5" fillId="0" borderId="3" xfId="0" applyNumberFormat="1" applyFont="1" applyBorder="1" applyAlignment="1">
      <alignment horizontal="left" vertical="center"/>
    </xf>
    <xf numFmtId="3" fontId="91" fillId="59" borderId="47" xfId="0" applyNumberFormat="1" applyFont="1" applyFill="1" applyBorder="1" applyAlignment="1">
      <alignment horizontal="left" vertical="center"/>
    </xf>
    <xf numFmtId="3" fontId="91" fillId="59" borderId="1" xfId="0" applyNumberFormat="1" applyFont="1" applyFill="1" applyBorder="1" applyAlignment="1">
      <alignment horizontal="left" vertical="center"/>
    </xf>
    <xf numFmtId="190" fontId="92" fillId="0" borderId="0" xfId="0" applyNumberFormat="1" applyFont="1" applyAlignment="1">
      <alignment horizontal="left" vertical="center"/>
    </xf>
    <xf numFmtId="3" fontId="92" fillId="0" borderId="3" xfId="0" applyNumberFormat="1" applyFont="1" applyBorder="1" applyAlignment="1">
      <alignment horizontal="left" vertical="center"/>
    </xf>
    <xf numFmtId="3" fontId="92" fillId="0" borderId="1" xfId="0" applyNumberFormat="1" applyFont="1" applyBorder="1" applyAlignment="1">
      <alignment horizontal="left" vertical="center"/>
    </xf>
    <xf numFmtId="3" fontId="92" fillId="0" borderId="4" xfId="0" applyNumberFormat="1" applyFont="1" applyBorder="1" applyAlignment="1">
      <alignment horizontal="left" vertical="center"/>
    </xf>
    <xf numFmtId="1" fontId="92" fillId="0" borderId="0" xfId="0" applyNumberFormat="1" applyFont="1" applyAlignment="1">
      <alignment horizontal="left" vertical="center"/>
    </xf>
    <xf numFmtId="1" fontId="92" fillId="0" borderId="34" xfId="0" applyNumberFormat="1" applyFont="1" applyBorder="1" applyAlignment="1">
      <alignment horizontal="left" vertical="center"/>
    </xf>
    <xf numFmtId="1" fontId="92" fillId="0" borderId="3" xfId="0" applyNumberFormat="1" applyFont="1" applyBorder="1" applyAlignment="1">
      <alignment horizontal="left" vertical="center"/>
    </xf>
    <xf numFmtId="1" fontId="91" fillId="59" borderId="0" xfId="0" applyNumberFormat="1" applyFont="1" applyFill="1" applyAlignment="1">
      <alignment horizontal="left" vertical="center"/>
    </xf>
    <xf numFmtId="1" fontId="91" fillId="59" borderId="34" xfId="0" applyNumberFormat="1" applyFont="1" applyFill="1" applyBorder="1" applyAlignment="1">
      <alignment horizontal="left" vertical="center"/>
    </xf>
    <xf numFmtId="1" fontId="92" fillId="0" borderId="1" xfId="0" applyNumberFormat="1" applyFont="1" applyBorder="1" applyAlignment="1">
      <alignment horizontal="left" vertical="center"/>
    </xf>
    <xf numFmtId="1" fontId="92" fillId="0" borderId="47" xfId="0" applyNumberFormat="1" applyFont="1" applyBorder="1" applyAlignment="1">
      <alignment horizontal="left" vertical="center"/>
    </xf>
    <xf numFmtId="190" fontId="92" fillId="0" borderId="34" xfId="0" applyNumberFormat="1" applyFont="1" applyBorder="1" applyAlignment="1">
      <alignment horizontal="left" vertical="center"/>
    </xf>
    <xf numFmtId="190" fontId="92" fillId="0" borderId="3" xfId="0" applyNumberFormat="1" applyFont="1" applyBorder="1" applyAlignment="1">
      <alignment horizontal="left" vertical="center"/>
    </xf>
    <xf numFmtId="190" fontId="92" fillId="0" borderId="1" xfId="0" applyNumberFormat="1" applyFont="1" applyBorder="1" applyAlignment="1">
      <alignment horizontal="left" vertical="center"/>
    </xf>
    <xf numFmtId="190" fontId="92" fillId="0" borderId="47" xfId="0" applyNumberFormat="1" applyFont="1" applyBorder="1" applyAlignment="1">
      <alignment horizontal="left" vertical="center"/>
    </xf>
    <xf numFmtId="190" fontId="92" fillId="0" borderId="4" xfId="0" applyNumberFormat="1" applyFont="1" applyBorder="1" applyAlignment="1">
      <alignment horizontal="left" vertical="center"/>
    </xf>
    <xf numFmtId="3" fontId="5" fillId="0" borderId="0" xfId="0" applyNumberFormat="1" applyFont="1" applyAlignment="1">
      <alignment horizontal="left" vertical="center"/>
    </xf>
    <xf numFmtId="3" fontId="5" fillId="0" borderId="3" xfId="0" applyNumberFormat="1" applyFont="1" applyBorder="1" applyAlignment="1">
      <alignment horizontal="left" vertical="center"/>
    </xf>
    <xf numFmtId="172" fontId="82" fillId="58" borderId="34" xfId="0" applyNumberFormat="1" applyFont="1" applyFill="1" applyBorder="1" applyAlignment="1">
      <alignment vertical="center"/>
    </xf>
    <xf numFmtId="170" fontId="82" fillId="2" borderId="34" xfId="1" quotePrefix="1" applyNumberFormat="1" applyFont="1" applyFill="1" applyBorder="1" applyAlignment="1">
      <alignment horizontal="right" vertical="center"/>
    </xf>
    <xf numFmtId="0" fontId="9" fillId="0" borderId="1" xfId="0" applyFont="1" applyBorder="1" applyAlignment="1">
      <alignment horizontal="left" wrapText="1"/>
    </xf>
    <xf numFmtId="0" fontId="9" fillId="0" borderId="1" xfId="0" applyFont="1" applyBorder="1"/>
    <xf numFmtId="0" fontId="79" fillId="0" borderId="0" xfId="0" applyFont="1" applyAlignment="1">
      <alignment horizontal="left" vertical="top"/>
    </xf>
    <xf numFmtId="0" fontId="106" fillId="2" borderId="0" xfId="0" applyFont="1" applyFill="1" applyAlignment="1">
      <alignment vertical="center"/>
    </xf>
    <xf numFmtId="170" fontId="82" fillId="2" borderId="0" xfId="1" applyNumberFormat="1" applyFont="1" applyFill="1" applyAlignment="1">
      <alignment vertical="center"/>
    </xf>
    <xf numFmtId="170" fontId="106" fillId="2" borderId="0" xfId="1" applyNumberFormat="1" applyFont="1" applyFill="1" applyAlignment="1">
      <alignment vertical="center"/>
    </xf>
    <xf numFmtId="170" fontId="82" fillId="2" borderId="0" xfId="1" applyNumberFormat="1" applyFont="1" applyFill="1"/>
    <xf numFmtId="170" fontId="82" fillId="2" borderId="34" xfId="1" applyNumberFormat="1" applyFont="1" applyFill="1" applyBorder="1" applyAlignment="1">
      <alignment vertical="center"/>
    </xf>
    <xf numFmtId="170" fontId="106" fillId="2" borderId="34" xfId="1" applyNumberFormat="1" applyFont="1" applyFill="1" applyBorder="1" applyAlignment="1">
      <alignment vertical="center"/>
    </xf>
    <xf numFmtId="9" fontId="82" fillId="0" borderId="39" xfId="1" applyFont="1" applyFill="1" applyBorder="1" applyAlignment="1">
      <alignment vertical="center"/>
    </xf>
    <xf numFmtId="0" fontId="101" fillId="0" borderId="0" xfId="0" applyFont="1" applyAlignment="1">
      <alignment horizontal="left" vertical="top"/>
    </xf>
    <xf numFmtId="0" fontId="91" fillId="0" borderId="1" xfId="0" applyFont="1" applyBorder="1" applyAlignment="1">
      <alignment horizontal="left" vertical="center"/>
    </xf>
    <xf numFmtId="0" fontId="91" fillId="0" borderId="47" xfId="0" applyFont="1" applyBorder="1" applyAlignment="1">
      <alignment horizontal="left" vertical="center"/>
    </xf>
    <xf numFmtId="0" fontId="91" fillId="0" borderId="4" xfId="0" applyFont="1" applyBorder="1" applyAlignment="1">
      <alignment horizontal="left" vertical="center"/>
    </xf>
    <xf numFmtId="0" fontId="91" fillId="59" borderId="1" xfId="0" applyFont="1" applyFill="1" applyBorder="1" applyAlignment="1">
      <alignment horizontal="left" vertical="center"/>
    </xf>
    <xf numFmtId="3" fontId="91" fillId="59" borderId="4" xfId="0" applyNumberFormat="1" applyFont="1" applyFill="1" applyBorder="1" applyAlignment="1">
      <alignment horizontal="left" vertical="center"/>
    </xf>
    <xf numFmtId="0" fontId="169" fillId="0" borderId="1" xfId="0" applyFont="1" applyBorder="1" applyAlignment="1">
      <alignment horizontal="left" vertical="center"/>
    </xf>
    <xf numFmtId="3" fontId="169" fillId="0" borderId="47" xfId="0" applyNumberFormat="1" applyFont="1" applyBorder="1" applyAlignment="1">
      <alignment horizontal="left" vertical="center"/>
    </xf>
    <xf numFmtId="3" fontId="169" fillId="0" borderId="1" xfId="0" applyNumberFormat="1" applyFont="1" applyBorder="1" applyAlignment="1">
      <alignment horizontal="left" vertical="center"/>
    </xf>
    <xf numFmtId="0" fontId="92" fillId="0" borderId="34" xfId="0" applyFont="1" applyBorder="1" applyAlignment="1">
      <alignment horizontal="left" vertical="center"/>
    </xf>
    <xf numFmtId="0" fontId="84" fillId="54" borderId="34" xfId="0" applyFont="1" applyFill="1" applyBorder="1" applyAlignment="1">
      <alignment horizontal="left" vertical="center"/>
    </xf>
    <xf numFmtId="0" fontId="84" fillId="57" borderId="0" xfId="0" applyFont="1" applyFill="1" applyAlignment="1">
      <alignment horizontal="left" vertical="center"/>
    </xf>
    <xf numFmtId="0" fontId="91" fillId="2" borderId="0" xfId="0" applyFont="1" applyFill="1" applyAlignment="1">
      <alignment horizontal="left" vertical="center"/>
    </xf>
    <xf numFmtId="3" fontId="91" fillId="2" borderId="0" xfId="0" applyNumberFormat="1" applyFont="1" applyFill="1" applyAlignment="1">
      <alignment horizontal="left" vertical="center"/>
    </xf>
    <xf numFmtId="3" fontId="92" fillId="2" borderId="0" xfId="0" applyNumberFormat="1" applyFont="1" applyFill="1" applyAlignment="1">
      <alignment horizontal="left" vertical="center"/>
    </xf>
    <xf numFmtId="0" fontId="92" fillId="2" borderId="0" xfId="0" applyFont="1" applyFill="1" applyAlignment="1">
      <alignment horizontal="left" vertical="center"/>
    </xf>
    <xf numFmtId="3" fontId="5" fillId="2" borderId="0" xfId="0" applyNumberFormat="1" applyFont="1" applyFill="1" applyAlignment="1">
      <alignment horizontal="left" vertical="center"/>
    </xf>
    <xf numFmtId="9" fontId="92" fillId="2" borderId="0" xfId="1" applyFont="1" applyFill="1" applyBorder="1" applyAlignment="1">
      <alignment horizontal="left" vertical="center"/>
    </xf>
    <xf numFmtId="0" fontId="93" fillId="2" borderId="0" xfId="0" applyFont="1" applyFill="1" applyAlignment="1">
      <alignment horizontal="left" vertical="center"/>
    </xf>
    <xf numFmtId="0" fontId="93" fillId="0" borderId="34" xfId="0" applyFont="1" applyBorder="1" applyAlignment="1">
      <alignment horizontal="left" vertical="center"/>
    </xf>
    <xf numFmtId="0" fontId="84" fillId="54" borderId="0" xfId="0" applyFont="1" applyFill="1" applyAlignment="1">
      <alignment horizontal="left" vertical="top"/>
    </xf>
    <xf numFmtId="9" fontId="82" fillId="2" borderId="0" xfId="0" quotePrefix="1" applyNumberFormat="1" applyFont="1" applyFill="1" applyAlignment="1">
      <alignment horizontal="right"/>
    </xf>
    <xf numFmtId="9" fontId="82" fillId="2" borderId="34" xfId="0" quotePrefix="1" applyNumberFormat="1" applyFont="1" applyFill="1" applyBorder="1" applyAlignment="1">
      <alignment horizontal="right"/>
    </xf>
    <xf numFmtId="0" fontId="81" fillId="0" borderId="0" xfId="0" applyFont="1" applyAlignment="1">
      <alignment horizontal="right"/>
    </xf>
    <xf numFmtId="0" fontId="81" fillId="0" borderId="34" xfId="0" applyFont="1" applyBorder="1" applyAlignment="1">
      <alignment horizontal="right"/>
    </xf>
    <xf numFmtId="0" fontId="81" fillId="0" borderId="32" xfId="0" applyFont="1" applyBorder="1" applyAlignment="1">
      <alignment horizontal="right"/>
    </xf>
    <xf numFmtId="0" fontId="81" fillId="0" borderId="35" xfId="0" applyFont="1" applyBorder="1" applyAlignment="1">
      <alignment horizontal="right"/>
    </xf>
    <xf numFmtId="0" fontId="79" fillId="0" borderId="34" xfId="7" applyFont="1" applyBorder="1" applyAlignment="1">
      <alignment vertical="top" wrapText="1"/>
    </xf>
    <xf numFmtId="171" fontId="100" fillId="0" borderId="0" xfId="0" applyNumberFormat="1" applyFont="1" applyAlignment="1" applyProtection="1">
      <alignment horizontal="right"/>
      <protection locked="0"/>
    </xf>
    <xf numFmtId="171" fontId="100" fillId="3" borderId="0" xfId="0" applyNumberFormat="1" applyFont="1" applyFill="1" applyAlignment="1" applyProtection="1">
      <alignment horizontal="right"/>
      <protection locked="0"/>
    </xf>
    <xf numFmtId="3" fontId="100" fillId="0" borderId="0" xfId="0" applyNumberFormat="1" applyFont="1" applyAlignment="1">
      <alignment horizontal="right"/>
    </xf>
    <xf numFmtId="3" fontId="100" fillId="0" borderId="0" xfId="0" applyNumberFormat="1" applyFont="1" applyAlignment="1" applyProtection="1">
      <alignment horizontal="right"/>
      <protection locked="0"/>
    </xf>
    <xf numFmtId="171" fontId="5" fillId="2" borderId="0" xfId="0" applyNumberFormat="1" applyFont="1" applyFill="1" applyAlignment="1" applyProtection="1">
      <alignment horizontal="right"/>
      <protection locked="0"/>
    </xf>
    <xf numFmtId="0" fontId="159" fillId="2" borderId="0" xfId="0" applyFont="1" applyFill="1" applyAlignment="1">
      <alignment horizontal="right" vertical="top" wrapText="1"/>
    </xf>
    <xf numFmtId="174" fontId="159" fillId="2" borderId="0" xfId="2" applyNumberFormat="1" applyFont="1" applyFill="1" applyBorder="1" applyAlignment="1">
      <alignment horizontal="right" vertical="top" wrapText="1"/>
    </xf>
    <xf numFmtId="9" fontId="78" fillId="2" borderId="0" xfId="0" applyNumberFormat="1" applyFont="1" applyFill="1" applyAlignment="1">
      <alignment horizontal="left"/>
    </xf>
    <xf numFmtId="172" fontId="82" fillId="2" borderId="34" xfId="0" applyNumberFormat="1" applyFont="1" applyFill="1" applyBorder="1" applyAlignment="1">
      <alignment vertical="center"/>
    </xf>
    <xf numFmtId="170" fontId="78" fillId="2" borderId="0" xfId="1" applyNumberFormat="1" applyFont="1" applyFill="1" applyBorder="1"/>
    <xf numFmtId="170" fontId="78" fillId="2" borderId="0" xfId="1" applyNumberFormat="1" applyFont="1" applyFill="1"/>
    <xf numFmtId="170" fontId="78" fillId="2" borderId="34" xfId="1" applyNumberFormat="1" applyFont="1" applyFill="1" applyBorder="1"/>
    <xf numFmtId="0" fontId="80" fillId="2" borderId="0" xfId="0" applyFont="1" applyFill="1"/>
    <xf numFmtId="0" fontId="80" fillId="2" borderId="34" xfId="0" applyFont="1" applyFill="1" applyBorder="1"/>
    <xf numFmtId="1" fontId="78" fillId="2" borderId="0" xfId="0" applyNumberFormat="1" applyFont="1" applyFill="1"/>
    <xf numFmtId="0" fontId="80" fillId="2" borderId="32" xfId="0" applyFont="1" applyFill="1" applyBorder="1"/>
    <xf numFmtId="0" fontId="78" fillId="2" borderId="32" xfId="0" applyFont="1" applyFill="1" applyBorder="1"/>
    <xf numFmtId="0" fontId="78" fillId="2" borderId="35" xfId="0" applyFont="1" applyFill="1" applyBorder="1"/>
    <xf numFmtId="0" fontId="106" fillId="2" borderId="1" xfId="0" applyFont="1" applyFill="1" applyBorder="1" applyAlignment="1">
      <alignment horizontal="left" vertical="center"/>
    </xf>
    <xf numFmtId="0" fontId="106" fillId="2" borderId="1" xfId="0" applyFont="1" applyFill="1" applyBorder="1" applyAlignment="1">
      <alignment horizontal="right" vertical="center"/>
    </xf>
    <xf numFmtId="0" fontId="106" fillId="2" borderId="47" xfId="0" applyFont="1" applyFill="1" applyBorder="1" applyAlignment="1">
      <alignment horizontal="right" vertical="center"/>
    </xf>
    <xf numFmtId="2" fontId="82" fillId="2" borderId="34" xfId="2" applyNumberFormat="1" applyFont="1" applyFill="1" applyBorder="1" applyAlignment="1">
      <alignment vertical="center"/>
    </xf>
    <xf numFmtId="0" fontId="88" fillId="54" borderId="34" xfId="0" applyFont="1" applyFill="1" applyBorder="1" applyAlignment="1">
      <alignment horizontal="left"/>
    </xf>
    <xf numFmtId="174" fontId="78" fillId="2" borderId="0" xfId="2" applyNumberFormat="1" applyFont="1" applyFill="1"/>
    <xf numFmtId="0" fontId="7" fillId="0" borderId="0" xfId="0" applyFont="1" applyAlignment="1">
      <alignment horizontal="left" vertical="center"/>
    </xf>
    <xf numFmtId="0" fontId="84" fillId="0" borderId="34" xfId="0" applyFont="1" applyBorder="1" applyAlignment="1">
      <alignment horizontal="left" vertical="center"/>
    </xf>
    <xf numFmtId="0" fontId="84" fillId="0" borderId="0" xfId="0" applyFont="1" applyAlignment="1">
      <alignment horizontal="left" vertical="center"/>
    </xf>
    <xf numFmtId="0" fontId="94" fillId="2" borderId="0" xfId="0" applyFont="1" applyFill="1"/>
    <xf numFmtId="0" fontId="88" fillId="57" borderId="0" xfId="0" applyFont="1" applyFill="1" applyAlignment="1">
      <alignment horizontal="left" vertical="top"/>
    </xf>
    <xf numFmtId="174" fontId="88" fillId="57" borderId="0" xfId="2" applyNumberFormat="1" applyFont="1" applyFill="1" applyAlignment="1">
      <alignment horizontal="left" vertical="top"/>
    </xf>
    <xf numFmtId="0" fontId="88" fillId="57" borderId="0" xfId="0" applyFont="1" applyFill="1" applyAlignment="1">
      <alignment horizontal="left"/>
    </xf>
    <xf numFmtId="0" fontId="88" fillId="57" borderId="34" xfId="0" applyFont="1" applyFill="1" applyBorder="1" applyAlignment="1">
      <alignment horizontal="left"/>
    </xf>
    <xf numFmtId="0" fontId="89" fillId="77" borderId="33" xfId="522" applyFont="1" applyFill="1" applyBorder="1"/>
    <xf numFmtId="0" fontId="12" fillId="0" borderId="0" xfId="11100"/>
    <xf numFmtId="0" fontId="82" fillId="2" borderId="0" xfId="0" applyFont="1" applyFill="1" applyAlignment="1">
      <alignment horizontal="right" vertical="center"/>
    </xf>
    <xf numFmtId="9" fontId="78" fillId="0" borderId="0" xfId="0" applyNumberFormat="1" applyFont="1"/>
    <xf numFmtId="3" fontId="82" fillId="0" borderId="0" xfId="0" applyNumberFormat="1" applyFont="1" applyAlignment="1">
      <alignment horizontal="right" vertical="center"/>
    </xf>
    <xf numFmtId="167" fontId="82" fillId="0" borderId="34" xfId="2" applyFont="1" applyBorder="1"/>
    <xf numFmtId="9" fontId="82" fillId="0" borderId="57" xfId="1" applyFont="1" applyFill="1" applyBorder="1" applyAlignment="1">
      <alignment vertical="center"/>
    </xf>
    <xf numFmtId="172" fontId="82" fillId="2" borderId="57" xfId="0" applyNumberFormat="1" applyFont="1" applyFill="1" applyBorder="1" applyAlignment="1">
      <alignment vertical="center"/>
    </xf>
    <xf numFmtId="9" fontId="82" fillId="73" borderId="34" xfId="1" applyFont="1" applyFill="1" applyBorder="1" applyAlignment="1">
      <alignment vertical="center"/>
    </xf>
    <xf numFmtId="9" fontId="82" fillId="94" borderId="0" xfId="1" applyFont="1" applyFill="1"/>
    <xf numFmtId="9" fontId="82" fillId="94" borderId="34" xfId="1" applyFont="1" applyFill="1" applyBorder="1" applyAlignment="1">
      <alignment vertical="center"/>
    </xf>
    <xf numFmtId="170" fontId="106" fillId="0" borderId="0" xfId="1" applyNumberFormat="1" applyFont="1" applyAlignment="1">
      <alignment horizontal="right" vertical="center"/>
    </xf>
    <xf numFmtId="170" fontId="106" fillId="0" borderId="0" xfId="1" applyNumberFormat="1" applyFont="1" applyFill="1" applyAlignment="1">
      <alignment horizontal="right" vertical="center"/>
    </xf>
    <xf numFmtId="3" fontId="87" fillId="2" borderId="34" xfId="1" applyNumberFormat="1" applyFont="1" applyFill="1" applyBorder="1" applyAlignment="1">
      <alignment horizontal="right" vertical="center"/>
    </xf>
    <xf numFmtId="3" fontId="87" fillId="2" borderId="34" xfId="1" quotePrefix="1" applyNumberFormat="1" applyFont="1" applyFill="1" applyBorder="1" applyAlignment="1">
      <alignment horizontal="right" vertical="center"/>
    </xf>
    <xf numFmtId="9" fontId="82" fillId="2" borderId="34" xfId="1" applyFont="1" applyFill="1" applyBorder="1" applyAlignment="1">
      <alignment vertical="center"/>
    </xf>
    <xf numFmtId="3" fontId="82" fillId="2" borderId="34" xfId="0" applyNumberFormat="1" applyFont="1" applyFill="1" applyBorder="1"/>
    <xf numFmtId="9" fontId="82" fillId="2" borderId="34" xfId="1" quotePrefix="1" applyFont="1" applyFill="1" applyBorder="1" applyAlignment="1">
      <alignment horizontal="right" vertical="center"/>
    </xf>
    <xf numFmtId="9" fontId="82" fillId="0" borderId="39" xfId="1" applyFont="1" applyBorder="1"/>
    <xf numFmtId="3" fontId="82" fillId="0" borderId="0" xfId="0" applyNumberFormat="1" applyFont="1" applyAlignment="1">
      <alignment wrapText="1"/>
    </xf>
    <xf numFmtId="174" fontId="82" fillId="0" borderId="0" xfId="2" applyNumberFormat="1" applyFont="1"/>
    <xf numFmtId="170" fontId="82" fillId="0" borderId="0" xfId="1" applyNumberFormat="1" applyFont="1" applyAlignment="1">
      <alignment horizontal="right"/>
    </xf>
    <xf numFmtId="1" fontId="82" fillId="2" borderId="0" xfId="2" applyNumberFormat="1" applyFont="1" applyFill="1" applyAlignment="1">
      <alignment vertical="center"/>
    </xf>
    <xf numFmtId="1" fontId="80" fillId="2" borderId="0" xfId="0" applyNumberFormat="1" applyFont="1" applyFill="1"/>
    <xf numFmtId="0" fontId="182" fillId="54" borderId="0" xfId="0" applyFont="1" applyFill="1"/>
    <xf numFmtId="0" fontId="148" fillId="2" borderId="0" xfId="0" applyFont="1" applyFill="1" applyAlignment="1">
      <alignment horizontal="right" vertical="center"/>
    </xf>
    <xf numFmtId="0" fontId="169" fillId="2" borderId="32" xfId="0" applyFont="1" applyFill="1" applyBorder="1" applyAlignment="1">
      <alignment horizontal="right" vertical="center"/>
    </xf>
    <xf numFmtId="172" fontId="183" fillId="2" borderId="0" xfId="0" applyNumberFormat="1" applyFont="1" applyFill="1" applyAlignment="1" applyProtection="1">
      <alignment vertical="top" wrapText="1"/>
      <protection locked="0"/>
    </xf>
    <xf numFmtId="172" fontId="169" fillId="59" borderId="0" xfId="0" applyNumberFormat="1" applyFont="1" applyFill="1" applyAlignment="1" applyProtection="1">
      <alignment vertical="top" wrapText="1"/>
      <protection locked="0"/>
    </xf>
    <xf numFmtId="3" fontId="183" fillId="2" borderId="0" xfId="0" applyNumberFormat="1" applyFont="1" applyFill="1" applyAlignment="1" applyProtection="1">
      <alignment vertical="top" wrapText="1"/>
      <protection locked="0"/>
    </xf>
    <xf numFmtId="0" fontId="184" fillId="2" borderId="0" xfId="0" applyFont="1" applyFill="1"/>
    <xf numFmtId="9" fontId="183" fillId="2" borderId="0" xfId="1" applyFont="1" applyFill="1" applyBorder="1" applyAlignment="1" applyProtection="1">
      <alignment vertical="top" wrapText="1"/>
      <protection locked="0"/>
    </xf>
    <xf numFmtId="174" fontId="183" fillId="2" borderId="0" xfId="2" applyNumberFormat="1" applyFont="1" applyFill="1" applyBorder="1" applyAlignment="1" applyProtection="1">
      <alignment horizontal="right" vertical="top" wrapText="1"/>
      <protection locked="0"/>
    </xf>
    <xf numFmtId="9" fontId="183" fillId="2" borderId="0" xfId="1" applyFont="1" applyFill="1" applyBorder="1" applyAlignment="1" applyProtection="1">
      <alignment horizontal="right" vertical="top" wrapText="1"/>
      <protection locked="0"/>
    </xf>
    <xf numFmtId="49" fontId="183" fillId="2" borderId="0" xfId="1" applyNumberFormat="1" applyFont="1" applyFill="1" applyBorder="1" applyAlignment="1" applyProtection="1">
      <alignment horizontal="right" vertical="top" wrapText="1"/>
      <protection locked="0"/>
    </xf>
    <xf numFmtId="0" fontId="183" fillId="2" borderId="0" xfId="4" applyFont="1" applyFill="1" applyAlignment="1">
      <alignment horizontal="left" vertical="top" wrapText="1"/>
    </xf>
    <xf numFmtId="0" fontId="183" fillId="2" borderId="0" xfId="4" applyFont="1" applyFill="1" applyAlignment="1">
      <alignment horizontal="right" vertical="top" wrapText="1"/>
    </xf>
    <xf numFmtId="0" fontId="157" fillId="2" borderId="0" xfId="0" applyFont="1" applyFill="1"/>
    <xf numFmtId="0" fontId="184" fillId="0" borderId="0" xfId="0" applyFont="1"/>
    <xf numFmtId="10" fontId="0" fillId="0" borderId="0" xfId="1" applyNumberFormat="1" applyFont="1"/>
    <xf numFmtId="170" fontId="5" fillId="2" borderId="0" xfId="1" applyNumberFormat="1" applyFont="1" applyFill="1" applyBorder="1" applyAlignment="1" applyProtection="1">
      <alignment horizontal="right" vertical="top" wrapText="1"/>
      <protection locked="0"/>
    </xf>
    <xf numFmtId="170" fontId="183" fillId="2" borderId="0" xfId="1" applyNumberFormat="1" applyFont="1" applyFill="1" applyBorder="1" applyAlignment="1" applyProtection="1">
      <alignment horizontal="right" vertical="top" wrapText="1"/>
      <protection locked="0"/>
    </xf>
    <xf numFmtId="10" fontId="5" fillId="2" borderId="0" xfId="1" applyNumberFormat="1" applyFont="1" applyFill="1" applyAlignment="1" applyProtection="1">
      <alignment horizontal="right"/>
      <protection locked="0"/>
    </xf>
    <xf numFmtId="225" fontId="82" fillId="0" borderId="0" xfId="0" applyNumberFormat="1" applyFont="1"/>
    <xf numFmtId="174" fontId="9" fillId="0" borderId="0" xfId="2" applyNumberFormat="1" applyFont="1"/>
    <xf numFmtId="174" fontId="9" fillId="0" borderId="0" xfId="2" applyNumberFormat="1" applyFont="1" applyBorder="1"/>
    <xf numFmtId="174" fontId="101" fillId="0" borderId="0" xfId="2" applyNumberFormat="1" applyFont="1"/>
    <xf numFmtId="174" fontId="5" fillId="0" borderId="0" xfId="2" applyNumberFormat="1" applyFont="1" applyBorder="1"/>
    <xf numFmtId="174" fontId="5" fillId="0" borderId="0" xfId="2" applyNumberFormat="1" applyFont="1" applyFill="1" applyBorder="1"/>
    <xf numFmtId="174" fontId="9" fillId="0" borderId="0" xfId="2" applyNumberFormat="1" applyFont="1" applyFill="1" applyBorder="1"/>
    <xf numFmtId="174" fontId="9" fillId="0" borderId="0" xfId="1" applyNumberFormat="1" applyFont="1" applyFill="1" applyBorder="1"/>
    <xf numFmtId="174" fontId="102" fillId="0" borderId="0" xfId="1" applyNumberFormat="1" applyFont="1" applyFill="1" applyBorder="1"/>
    <xf numFmtId="174" fontId="5" fillId="0" borderId="0" xfId="0" applyNumberFormat="1" applyFont="1"/>
    <xf numFmtId="9" fontId="5" fillId="0" borderId="0" xfId="1" applyFont="1"/>
    <xf numFmtId="3" fontId="5" fillId="2" borderId="0" xfId="0" applyNumberFormat="1" applyFont="1" applyFill="1" applyAlignment="1" applyProtection="1">
      <alignment horizontal="right" vertical="top" wrapText="1"/>
      <protection locked="0"/>
    </xf>
    <xf numFmtId="3" fontId="5" fillId="2" borderId="32" xfId="0" applyNumberFormat="1" applyFont="1" applyFill="1" applyBorder="1" applyAlignment="1" applyProtection="1">
      <alignment vertical="top" wrapText="1"/>
      <protection locked="0"/>
    </xf>
    <xf numFmtId="3" fontId="183" fillId="2" borderId="32" xfId="0" applyNumberFormat="1" applyFont="1" applyFill="1" applyBorder="1" applyAlignment="1" applyProtection="1">
      <alignment vertical="top" wrapText="1"/>
      <protection locked="0"/>
    </xf>
    <xf numFmtId="0" fontId="91" fillId="0" borderId="1" xfId="0" applyFont="1" applyBorder="1"/>
    <xf numFmtId="0" fontId="91" fillId="0" borderId="1" xfId="0" applyFont="1" applyBorder="1" applyAlignment="1">
      <alignment horizontal="right"/>
    </xf>
    <xf numFmtId="0" fontId="91" fillId="59" borderId="1" xfId="0" applyFont="1" applyFill="1" applyBorder="1" applyAlignment="1">
      <alignment horizontal="right"/>
    </xf>
    <xf numFmtId="0" fontId="91" fillId="0" borderId="0" xfId="0" applyFont="1"/>
    <xf numFmtId="3" fontId="92" fillId="0" borderId="0" xfId="0" applyNumberFormat="1" applyFont="1"/>
    <xf numFmtId="3" fontId="92" fillId="59" borderId="0" xfId="0" applyNumberFormat="1" applyFont="1" applyFill="1"/>
    <xf numFmtId="3" fontId="92" fillId="0" borderId="1" xfId="0" applyNumberFormat="1" applyFont="1" applyBorder="1"/>
    <xf numFmtId="3" fontId="92" fillId="59" borderId="1" xfId="0" applyNumberFormat="1" applyFont="1" applyFill="1" applyBorder="1"/>
    <xf numFmtId="0" fontId="91" fillId="0" borderId="27" xfId="0" applyFont="1" applyBorder="1"/>
    <xf numFmtId="3" fontId="91" fillId="0" borderId="27" xfId="0" applyNumberFormat="1" applyFont="1" applyBorder="1"/>
    <xf numFmtId="3" fontId="92" fillId="94" borderId="0" xfId="0" applyNumberFormat="1" applyFont="1" applyFill="1"/>
    <xf numFmtId="0" fontId="5" fillId="2" borderId="0" xfId="11696" applyFont="1" applyFill="1"/>
    <xf numFmtId="0" fontId="5" fillId="2" borderId="0" xfId="11696" applyFont="1" applyFill="1" applyAlignment="1">
      <alignment vertical="center"/>
    </xf>
    <xf numFmtId="0" fontId="100" fillId="2" borderId="0" xfId="11696" applyFont="1" applyFill="1"/>
    <xf numFmtId="0" fontId="189" fillId="55" borderId="0" xfId="0" applyFont="1" applyFill="1"/>
    <xf numFmtId="9" fontId="78" fillId="0" borderId="0" xfId="1" applyFont="1" applyFill="1" applyBorder="1" applyAlignment="1">
      <alignment horizontal="right"/>
    </xf>
    <xf numFmtId="170" fontId="92" fillId="0" borderId="0" xfId="1" applyNumberFormat="1" applyFont="1" applyFill="1" applyBorder="1"/>
    <xf numFmtId="170" fontId="91" fillId="0" borderId="0" xfId="1" applyNumberFormat="1" applyFont="1" applyFill="1" applyBorder="1"/>
    <xf numFmtId="0" fontId="93" fillId="0" borderId="0" xfId="0" applyFont="1"/>
    <xf numFmtId="0" fontId="91" fillId="0" borderId="0" xfId="0" applyFont="1" applyAlignment="1">
      <alignment horizontal="right"/>
    </xf>
    <xf numFmtId="0" fontId="91" fillId="0" borderId="0" xfId="0" applyFont="1" applyAlignment="1">
      <alignment horizontal="right" wrapText="1"/>
    </xf>
    <xf numFmtId="9" fontId="78" fillId="0" borderId="0" xfId="0" applyNumberFormat="1" applyFont="1" applyAlignment="1">
      <alignment horizontal="right"/>
    </xf>
    <xf numFmtId="3" fontId="91" fillId="0" borderId="0" xfId="0" applyNumberFormat="1" applyFont="1"/>
    <xf numFmtId="9" fontId="91" fillId="0" borderId="0" xfId="0" applyNumberFormat="1" applyFont="1"/>
    <xf numFmtId="0" fontId="93" fillId="0" borderId="0" xfId="0" applyFont="1" applyAlignment="1">
      <alignment wrapText="1"/>
    </xf>
    <xf numFmtId="0" fontId="108" fillId="0" borderId="0" xfId="0" applyFont="1"/>
    <xf numFmtId="170" fontId="93" fillId="0" borderId="0" xfId="0" applyNumberFormat="1" applyFont="1"/>
    <xf numFmtId="0" fontId="77" fillId="55" borderId="0" xfId="522" applyFill="1"/>
    <xf numFmtId="174" fontId="9" fillId="0" borderId="0" xfId="2" applyNumberFormat="1" applyFont="1" applyAlignment="1">
      <alignment horizontal="right"/>
    </xf>
    <xf numFmtId="0" fontId="92" fillId="0" borderId="0" xfId="0" applyFont="1" applyAlignment="1">
      <alignment horizontal="left" vertical="top" wrapText="1"/>
    </xf>
    <xf numFmtId="1" fontId="92" fillId="2" borderId="0" xfId="0" applyNumberFormat="1" applyFont="1" applyFill="1"/>
    <xf numFmtId="0" fontId="93" fillId="2" borderId="0" xfId="0" applyFont="1" applyFill="1"/>
    <xf numFmtId="0" fontId="94" fillId="54" borderId="0" xfId="0" applyFont="1" applyFill="1" applyAlignment="1">
      <alignment horizontal="left"/>
    </xf>
    <xf numFmtId="0" fontId="9" fillId="53" borderId="32" xfId="0" applyFont="1" applyFill="1" applyBorder="1" applyAlignment="1">
      <alignment wrapText="1"/>
    </xf>
    <xf numFmtId="1" fontId="9" fillId="53" borderId="32" xfId="0" applyNumberFormat="1" applyFont="1" applyFill="1" applyBorder="1" applyAlignment="1">
      <alignment horizontal="center" vertical="center" wrapText="1"/>
    </xf>
    <xf numFmtId="0" fontId="9" fillId="2" borderId="32" xfId="0" applyFont="1" applyFill="1" applyBorder="1" applyAlignment="1">
      <alignment wrapText="1"/>
    </xf>
    <xf numFmtId="1" fontId="9" fillId="2" borderId="32" xfId="0" applyNumberFormat="1" applyFont="1" applyFill="1" applyBorder="1" applyAlignment="1">
      <alignment horizontal="right" wrapText="1"/>
    </xf>
    <xf numFmtId="1" fontId="9" fillId="0" borderId="32" xfId="0" applyNumberFormat="1" applyFont="1" applyBorder="1" applyAlignment="1">
      <alignment horizontal="right" wrapText="1"/>
    </xf>
    <xf numFmtId="0" fontId="190" fillId="2" borderId="0" xfId="0" applyFont="1" applyFill="1" applyAlignment="1">
      <alignment horizontal="right" wrapText="1"/>
    </xf>
    <xf numFmtId="1" fontId="5" fillId="0" borderId="0" xfId="0" applyNumberFormat="1" applyFont="1"/>
    <xf numFmtId="173" fontId="191" fillId="2" borderId="0" xfId="0" applyNumberFormat="1" applyFont="1" applyFill="1"/>
    <xf numFmtId="1" fontId="5" fillId="0" borderId="0" xfId="0" applyNumberFormat="1" applyFont="1" applyAlignment="1">
      <alignment horizontal="right"/>
    </xf>
    <xf numFmtId="0" fontId="79" fillId="2" borderId="0" xfId="0" applyFont="1" applyFill="1"/>
    <xf numFmtId="3" fontId="191" fillId="2" borderId="0" xfId="0" applyNumberFormat="1" applyFont="1" applyFill="1"/>
    <xf numFmtId="0" fontId="79" fillId="0" borderId="0" xfId="0" applyFont="1"/>
    <xf numFmtId="0" fontId="191" fillId="2" borderId="0" xfId="0" applyFont="1" applyFill="1"/>
    <xf numFmtId="0" fontId="102" fillId="0" borderId="0" xfId="0" applyFont="1" applyAlignment="1">
      <alignment horizontal="center" vertical="center" wrapText="1"/>
    </xf>
    <xf numFmtId="173" fontId="5" fillId="0" borderId="0" xfId="2" applyNumberFormat="1" applyFont="1" applyFill="1" applyBorder="1"/>
    <xf numFmtId="1" fontId="79" fillId="0" borderId="0" xfId="0" applyNumberFormat="1" applyFont="1"/>
    <xf numFmtId="0" fontId="79" fillId="0" borderId="0" xfId="0" applyFont="1" applyAlignment="1">
      <alignment horizontal="right"/>
    </xf>
    <xf numFmtId="0" fontId="91" fillId="2" borderId="32" xfId="0" applyFont="1" applyFill="1" applyBorder="1" applyAlignment="1">
      <alignment wrapText="1"/>
    </xf>
    <xf numFmtId="1" fontId="91" fillId="2" borderId="32" xfId="0" applyNumberFormat="1" applyFont="1" applyFill="1" applyBorder="1" applyAlignment="1">
      <alignment horizontal="right" wrapText="1"/>
    </xf>
    <xf numFmtId="1" fontId="91" fillId="0" borderId="32" xfId="0" applyNumberFormat="1" applyFont="1" applyBorder="1" applyAlignment="1">
      <alignment horizontal="right" wrapText="1"/>
    </xf>
    <xf numFmtId="3" fontId="92" fillId="2" borderId="0" xfId="0" applyNumberFormat="1" applyFont="1" applyFill="1"/>
    <xf numFmtId="3" fontId="92" fillId="2" borderId="0" xfId="0" applyNumberFormat="1" applyFont="1" applyFill="1" applyAlignment="1">
      <alignment horizontal="right" vertical="center"/>
    </xf>
    <xf numFmtId="172" fontId="92" fillId="2" borderId="0" xfId="0" applyNumberFormat="1" applyFont="1" applyFill="1"/>
    <xf numFmtId="173" fontId="92" fillId="2" borderId="0" xfId="0" applyNumberFormat="1" applyFont="1" applyFill="1"/>
    <xf numFmtId="0" fontId="108" fillId="2" borderId="0" xfId="0" applyFont="1" applyFill="1" applyAlignment="1">
      <alignment horizontal="right" wrapText="1"/>
    </xf>
    <xf numFmtId="173" fontId="92" fillId="0" borderId="0" xfId="0" applyNumberFormat="1" applyFont="1"/>
    <xf numFmtId="0" fontId="91" fillId="53" borderId="32" xfId="0" applyFont="1" applyFill="1" applyBorder="1" applyAlignment="1">
      <alignment wrapText="1"/>
    </xf>
    <xf numFmtId="1" fontId="91" fillId="53" borderId="32" xfId="0" applyNumberFormat="1" applyFont="1" applyFill="1" applyBorder="1" applyAlignment="1">
      <alignment horizontal="right" wrapText="1"/>
    </xf>
    <xf numFmtId="173" fontId="79" fillId="0" borderId="0" xfId="0" applyNumberFormat="1" applyFont="1"/>
    <xf numFmtId="173" fontId="5" fillId="0" borderId="0" xfId="0" applyNumberFormat="1" applyFont="1"/>
    <xf numFmtId="0" fontId="92" fillId="2" borderId="0" xfId="0" applyFont="1" applyFill="1" applyAlignment="1">
      <alignment vertical="top"/>
    </xf>
    <xf numFmtId="0" fontId="92" fillId="0" borderId="0" xfId="0" applyFont="1" applyAlignment="1">
      <alignment wrapText="1"/>
    </xf>
    <xf numFmtId="0" fontId="148" fillId="0" borderId="0" xfId="0" applyFont="1" applyAlignment="1">
      <alignment wrapText="1"/>
    </xf>
    <xf numFmtId="172" fontId="5" fillId="0" borderId="0" xfId="0" applyNumberFormat="1" applyFont="1"/>
    <xf numFmtId="0" fontId="148" fillId="2" borderId="0" xfId="0" applyFont="1" applyFill="1"/>
    <xf numFmtId="173" fontId="79" fillId="0" borderId="0" xfId="0" applyNumberFormat="1" applyFont="1" applyAlignment="1">
      <alignment horizontal="right"/>
    </xf>
    <xf numFmtId="0" fontId="92" fillId="2" borderId="0" xfId="0" applyFont="1" applyFill="1" applyAlignment="1">
      <alignment wrapText="1"/>
    </xf>
    <xf numFmtId="1" fontId="78" fillId="0" borderId="0" xfId="0" applyNumberFormat="1" applyFont="1" applyAlignment="1">
      <alignment horizontal="right" vertical="center"/>
    </xf>
    <xf numFmtId="1" fontId="92" fillId="0" borderId="0" xfId="0" applyNumberFormat="1" applyFont="1"/>
    <xf numFmtId="1" fontId="91" fillId="0" borderId="32" xfId="0" applyNumberFormat="1" applyFont="1" applyBorder="1" applyAlignment="1">
      <alignment horizontal="left"/>
    </xf>
    <xf numFmtId="1" fontId="148" fillId="0" borderId="0" xfId="0" applyNumberFormat="1" applyFont="1"/>
    <xf numFmtId="173" fontId="157" fillId="0" borderId="0" xfId="0" applyNumberFormat="1" applyFont="1" applyAlignment="1">
      <alignment horizontal="right" vertical="center"/>
    </xf>
    <xf numFmtId="173" fontId="148" fillId="0" borderId="0" xfId="0" applyNumberFormat="1" applyFont="1"/>
    <xf numFmtId="173" fontId="148" fillId="0" borderId="0" xfId="0" applyNumberFormat="1" applyFont="1" applyAlignment="1">
      <alignment horizontal="right"/>
    </xf>
    <xf numFmtId="0" fontId="93" fillId="0" borderId="0" xfId="0" applyFont="1" applyAlignment="1">
      <alignment horizontal="right"/>
    </xf>
    <xf numFmtId="1" fontId="93" fillId="0" borderId="0" xfId="0" applyNumberFormat="1" applyFont="1"/>
    <xf numFmtId="173" fontId="92" fillId="0" borderId="0" xfId="2" applyNumberFormat="1" applyFont="1" applyFill="1"/>
    <xf numFmtId="1" fontId="148" fillId="0" borderId="0" xfId="0" applyNumberFormat="1" applyFont="1" applyAlignment="1">
      <alignment horizontal="right"/>
    </xf>
    <xf numFmtId="0" fontId="183" fillId="0" borderId="0" xfId="0" applyFont="1"/>
    <xf numFmtId="1" fontId="93" fillId="2" borderId="0" xfId="0" applyNumberFormat="1" applyFont="1" applyFill="1"/>
    <xf numFmtId="1" fontId="93" fillId="2" borderId="0" xfId="0" applyNumberFormat="1" applyFont="1" applyFill="1" applyAlignment="1">
      <alignment horizontal="right"/>
    </xf>
    <xf numFmtId="0" fontId="93" fillId="2" borderId="0" xfId="0" applyFont="1" applyFill="1" applyAlignment="1">
      <alignment horizontal="right"/>
    </xf>
    <xf numFmtId="1" fontId="192" fillId="0" borderId="0" xfId="0" applyNumberFormat="1" applyFont="1"/>
    <xf numFmtId="1" fontId="148" fillId="2" borderId="0" xfId="0" applyNumberFormat="1" applyFont="1" applyFill="1"/>
    <xf numFmtId="1" fontId="92" fillId="2" borderId="0" xfId="0" quotePrefix="1" applyNumberFormat="1" applyFont="1" applyFill="1" applyAlignment="1">
      <alignment horizontal="right"/>
    </xf>
    <xf numFmtId="1" fontId="5" fillId="0" borderId="0" xfId="0" quotePrefix="1" applyNumberFormat="1" applyFont="1" applyAlignment="1">
      <alignment horizontal="right"/>
    </xf>
    <xf numFmtId="1" fontId="193" fillId="0" borderId="0" xfId="0" applyNumberFormat="1" applyFont="1"/>
    <xf numFmtId="1" fontId="92" fillId="2" borderId="0" xfId="0" applyNumberFormat="1" applyFont="1" applyFill="1" applyAlignment="1">
      <alignment horizontal="right" wrapText="1"/>
    </xf>
    <xf numFmtId="1" fontId="5" fillId="0" borderId="0" xfId="0" applyNumberFormat="1" applyFont="1" applyAlignment="1">
      <alignment horizontal="right" wrapText="1"/>
    </xf>
    <xf numFmtId="0" fontId="81" fillId="0" borderId="0" xfId="0" applyFont="1" applyAlignment="1">
      <alignment horizontal="right" wrapText="1"/>
    </xf>
    <xf numFmtId="0" fontId="108" fillId="53" borderId="32" xfId="0" applyFont="1" applyFill="1" applyBorder="1" applyAlignment="1">
      <alignment horizontal="right" wrapText="1"/>
    </xf>
    <xf numFmtId="49" fontId="92" fillId="2" borderId="0" xfId="0" applyNumberFormat="1" applyFont="1" applyFill="1" applyAlignment="1">
      <alignment horizontal="right" wrapText="1"/>
    </xf>
    <xf numFmtId="9" fontId="92" fillId="2" borderId="0" xfId="1" applyFont="1" applyFill="1" applyBorder="1" applyAlignment="1">
      <alignment horizontal="right" wrapText="1"/>
    </xf>
    <xf numFmtId="9" fontId="92" fillId="2" borderId="0" xfId="1" applyFont="1" applyFill="1" applyAlignment="1">
      <alignment horizontal="right" wrapText="1"/>
    </xf>
    <xf numFmtId="3" fontId="92" fillId="2" borderId="0" xfId="0" applyNumberFormat="1" applyFont="1" applyFill="1" applyAlignment="1">
      <alignment horizontal="right" wrapText="1"/>
    </xf>
    <xf numFmtId="174" fontId="93" fillId="2" borderId="0" xfId="2" applyNumberFormat="1" applyFont="1" applyFill="1" applyAlignment="1">
      <alignment horizontal="right" wrapText="1"/>
    </xf>
    <xf numFmtId="0" fontId="91" fillId="2" borderId="0" xfId="0" applyFont="1" applyFill="1" applyAlignment="1">
      <alignment wrapText="1"/>
    </xf>
    <xf numFmtId="1" fontId="91" fillId="2" borderId="0" xfId="0" applyNumberFormat="1" applyFont="1" applyFill="1" applyAlignment="1">
      <alignment horizontal="right" wrapText="1"/>
    </xf>
    <xf numFmtId="0" fontId="79" fillId="2" borderId="0" xfId="0" applyFont="1" applyFill="1" applyAlignment="1">
      <alignment horizontal="right" wrapText="1"/>
    </xf>
    <xf numFmtId="14" fontId="79" fillId="2" borderId="0" xfId="0" quotePrefix="1" applyNumberFormat="1" applyFont="1" applyFill="1" applyAlignment="1">
      <alignment horizontal="right" wrapText="1"/>
    </xf>
    <xf numFmtId="1" fontId="5" fillId="2" borderId="0" xfId="0" applyNumberFormat="1" applyFont="1" applyFill="1" applyAlignment="1">
      <alignment horizontal="right"/>
    </xf>
    <xf numFmtId="0" fontId="101" fillId="2" borderId="0" xfId="0" applyFont="1" applyFill="1"/>
    <xf numFmtId="1" fontId="100" fillId="2" borderId="0" xfId="0" applyNumberFormat="1" applyFont="1" applyFill="1"/>
    <xf numFmtId="170" fontId="79" fillId="0" borderId="0" xfId="1" applyNumberFormat="1" applyFont="1" applyFill="1" applyBorder="1" applyAlignment="1">
      <alignment horizontal="right" vertical="center"/>
    </xf>
    <xf numFmtId="170" fontId="106" fillId="58" borderId="0" xfId="1" applyNumberFormat="1" applyFont="1" applyFill="1" applyAlignment="1">
      <alignment horizontal="right" vertical="center"/>
    </xf>
    <xf numFmtId="170" fontId="106" fillId="3" borderId="0" xfId="1" applyNumberFormat="1" applyFont="1" applyFill="1" applyBorder="1" applyAlignment="1">
      <alignment horizontal="right" vertical="center"/>
    </xf>
    <xf numFmtId="9" fontId="82" fillId="0" borderId="0" xfId="1" applyFont="1" applyFill="1" applyBorder="1" applyAlignment="1">
      <alignment horizontal="right" vertical="center"/>
    </xf>
    <xf numFmtId="9" fontId="106" fillId="58" borderId="0" xfId="1" applyFont="1" applyFill="1" applyAlignment="1">
      <alignment horizontal="right" vertical="center"/>
    </xf>
    <xf numFmtId="9" fontId="5" fillId="2" borderId="0" xfId="1" applyFont="1" applyFill="1"/>
    <xf numFmtId="14" fontId="159" fillId="2" borderId="2" xfId="0" applyNumberFormat="1" applyFont="1" applyFill="1" applyBorder="1" applyAlignment="1">
      <alignment horizontal="left" vertical="top" wrapText="1"/>
    </xf>
    <xf numFmtId="0" fontId="159" fillId="2" borderId="2" xfId="0" applyFont="1" applyFill="1" applyBorder="1" applyAlignment="1">
      <alignment horizontal="left" vertical="top" wrapText="1"/>
    </xf>
    <xf numFmtId="174" fontId="159" fillId="2" borderId="2" xfId="2" applyNumberFormat="1" applyFont="1" applyFill="1" applyBorder="1" applyAlignment="1">
      <alignment horizontal="left" vertical="top" wrapText="1"/>
    </xf>
    <xf numFmtId="174" fontId="78" fillId="2" borderId="34" xfId="2" applyNumberFormat="1" applyFont="1" applyFill="1" applyBorder="1" applyAlignment="1">
      <alignment horizontal="right"/>
    </xf>
    <xf numFmtId="1" fontId="82" fillId="2" borderId="34" xfId="2" applyNumberFormat="1" applyFont="1" applyFill="1" applyBorder="1" applyAlignment="1">
      <alignment horizontal="right" vertical="center"/>
    </xf>
    <xf numFmtId="170" fontId="78" fillId="2" borderId="34" xfId="1" applyNumberFormat="1" applyFont="1" applyFill="1" applyBorder="1" applyAlignment="1">
      <alignment horizontal="right"/>
    </xf>
    <xf numFmtId="174" fontId="78" fillId="2" borderId="34" xfId="2" applyNumberFormat="1" applyFont="1" applyFill="1" applyBorder="1"/>
    <xf numFmtId="1" fontId="78" fillId="2" borderId="34" xfId="0" applyNumberFormat="1" applyFont="1" applyFill="1" applyBorder="1"/>
    <xf numFmtId="1" fontId="80" fillId="2" borderId="34" xfId="0" applyNumberFormat="1" applyFont="1" applyFill="1" applyBorder="1"/>
    <xf numFmtId="0" fontId="92" fillId="0" borderId="27" xfId="0" applyFont="1" applyBorder="1"/>
    <xf numFmtId="9" fontId="106" fillId="0" borderId="0" xfId="1" applyFont="1" applyAlignment="1">
      <alignment vertical="center"/>
    </xf>
    <xf numFmtId="0" fontId="91" fillId="0" borderId="0" xfId="11696" applyFont="1" applyAlignment="1">
      <alignment horizontal="right"/>
    </xf>
    <xf numFmtId="0" fontId="92" fillId="76" borderId="0" xfId="11696" applyFont="1" applyFill="1" applyAlignment="1">
      <alignment horizontal="left"/>
    </xf>
    <xf numFmtId="0" fontId="91" fillId="76" borderId="0" xfId="11696" applyFont="1" applyFill="1" applyAlignment="1">
      <alignment horizontal="right"/>
    </xf>
    <xf numFmtId="174" fontId="92" fillId="76" borderId="0" xfId="2" applyNumberFormat="1" applyFont="1" applyFill="1" applyAlignment="1">
      <alignment horizontal="right"/>
    </xf>
    <xf numFmtId="170" fontId="92" fillId="76" borderId="0" xfId="1" applyNumberFormat="1" applyFont="1" applyFill="1" applyAlignment="1">
      <alignment horizontal="right"/>
    </xf>
    <xf numFmtId="0" fontId="92" fillId="76" borderId="0" xfId="11696" applyFont="1" applyFill="1" applyAlignment="1">
      <alignment horizontal="right"/>
    </xf>
    <xf numFmtId="0" fontId="93" fillId="0" borderId="0" xfId="11696" applyFont="1" applyAlignment="1">
      <alignment horizontal="right"/>
    </xf>
    <xf numFmtId="9" fontId="93" fillId="0" borderId="0" xfId="1" applyFont="1" applyAlignment="1">
      <alignment horizontal="right"/>
    </xf>
    <xf numFmtId="174" fontId="92" fillId="76" borderId="0" xfId="11696" applyNumberFormat="1" applyFont="1" applyFill="1" applyAlignment="1">
      <alignment horizontal="right"/>
    </xf>
    <xf numFmtId="170" fontId="92" fillId="76" borderId="0" xfId="11696" applyNumberFormat="1" applyFont="1" applyFill="1" applyAlignment="1">
      <alignment horizontal="right"/>
    </xf>
    <xf numFmtId="0" fontId="194" fillId="95" borderId="0" xfId="11696" applyFont="1" applyFill="1"/>
    <xf numFmtId="0" fontId="9" fillId="95" borderId="0" xfId="11696" applyFont="1" applyFill="1"/>
    <xf numFmtId="0" fontId="9" fillId="95" borderId="0" xfId="3" applyFont="1" applyFill="1"/>
    <xf numFmtId="0" fontId="194" fillId="0" borderId="0" xfId="11696" applyFont="1"/>
    <xf numFmtId="0" fontId="9" fillId="2" borderId="0" xfId="11696" applyFont="1" applyFill="1"/>
    <xf numFmtId="0" fontId="5" fillId="2" borderId="0" xfId="11696" applyFont="1" applyFill="1" applyAlignment="1">
      <alignment horizontal="right"/>
    </xf>
    <xf numFmtId="0" fontId="79" fillId="2" borderId="0" xfId="11696" applyFont="1" applyFill="1" applyAlignment="1">
      <alignment horizontal="left"/>
    </xf>
    <xf numFmtId="0" fontId="79" fillId="2" borderId="0" xfId="11696" applyFont="1" applyFill="1" applyAlignment="1">
      <alignment horizontal="right"/>
    </xf>
    <xf numFmtId="0" fontId="5" fillId="0" borderId="0" xfId="11696" applyFont="1"/>
    <xf numFmtId="3" fontId="5" fillId="2" borderId="0" xfId="11696" applyNumberFormat="1" applyFont="1" applyFill="1"/>
    <xf numFmtId="3" fontId="5" fillId="2" borderId="0" xfId="11696" applyNumberFormat="1" applyFont="1" applyFill="1" applyAlignment="1">
      <alignment horizontal="right"/>
    </xf>
    <xf numFmtId="170" fontId="5" fillId="2" borderId="0" xfId="393" applyNumberFormat="1" applyFont="1" applyFill="1" applyBorder="1"/>
    <xf numFmtId="9" fontId="5" fillId="2" borderId="0" xfId="393" applyFont="1" applyFill="1" applyBorder="1"/>
    <xf numFmtId="3" fontId="92" fillId="2" borderId="0" xfId="11696" applyNumberFormat="1" applyFont="1" applyFill="1" applyAlignment="1">
      <alignment vertical="center"/>
    </xf>
    <xf numFmtId="3" fontId="9" fillId="2" borderId="0" xfId="11696" applyNumberFormat="1" applyFont="1" applyFill="1"/>
    <xf numFmtId="170" fontId="9" fillId="2" borderId="0" xfId="393" applyNumberFormat="1" applyFont="1" applyFill="1" applyBorder="1"/>
    <xf numFmtId="3" fontId="5" fillId="2" borderId="0" xfId="11696" applyNumberFormat="1" applyFont="1" applyFill="1" applyAlignment="1">
      <alignment horizontal="right" vertical="center"/>
    </xf>
    <xf numFmtId="170" fontId="5" fillId="2" borderId="0" xfId="393" applyNumberFormat="1" applyFont="1" applyFill="1" applyBorder="1" applyAlignment="1">
      <alignment horizontal="right"/>
    </xf>
    <xf numFmtId="170" fontId="5" fillId="2" borderId="0" xfId="393" applyNumberFormat="1" applyFont="1" applyFill="1" applyBorder="1" applyAlignment="1">
      <alignment horizontal="right" vertical="center"/>
    </xf>
    <xf numFmtId="0" fontId="9" fillId="2" borderId="0" xfId="11696" applyFont="1" applyFill="1" applyAlignment="1">
      <alignment vertical="center"/>
    </xf>
    <xf numFmtId="0" fontId="194" fillId="95" borderId="0" xfId="3" applyFont="1" applyFill="1"/>
    <xf numFmtId="0" fontId="194" fillId="95" borderId="0" xfId="11696" applyFont="1" applyFill="1" applyAlignment="1">
      <alignment vertical="center"/>
    </xf>
    <xf numFmtId="0" fontId="9" fillId="95" borderId="0" xfId="11696" applyFont="1" applyFill="1" applyAlignment="1">
      <alignment horizontal="left" vertical="center"/>
    </xf>
    <xf numFmtId="0" fontId="91" fillId="0" borderId="0" xfId="11696" applyFont="1"/>
    <xf numFmtId="0" fontId="194" fillId="76" borderId="0" xfId="11696" applyFont="1" applyFill="1"/>
    <xf numFmtId="0" fontId="193" fillId="76" borderId="0" xfId="11696" applyFont="1" applyFill="1"/>
    <xf numFmtId="0" fontId="193" fillId="76" borderId="0" xfId="3" applyFont="1" applyFill="1"/>
    <xf numFmtId="0" fontId="92" fillId="0" borderId="0" xfId="11696" applyFont="1"/>
    <xf numFmtId="0" fontId="193" fillId="95" borderId="0" xfId="11696" applyFont="1" applyFill="1"/>
    <xf numFmtId="0" fontId="9" fillId="0" borderId="0" xfId="11696" applyFont="1"/>
    <xf numFmtId="0" fontId="5" fillId="96" borderId="0" xfId="11696" applyFont="1" applyFill="1"/>
    <xf numFmtId="0" fontId="9" fillId="76" borderId="0" xfId="3" applyFont="1" applyFill="1"/>
    <xf numFmtId="0" fontId="5" fillId="76" borderId="0" xfId="3" applyFont="1" applyFill="1"/>
    <xf numFmtId="0" fontId="194" fillId="76" borderId="0" xfId="3" applyFont="1" applyFill="1" applyAlignment="1">
      <alignment horizontal="right"/>
    </xf>
    <xf numFmtId="0" fontId="5" fillId="76" borderId="0" xfId="3" applyFont="1" applyFill="1" applyAlignment="1">
      <alignment horizontal="left"/>
    </xf>
    <xf numFmtId="0" fontId="9" fillId="76" borderId="0" xfId="3" applyFont="1" applyFill="1" applyAlignment="1">
      <alignment horizontal="right"/>
    </xf>
    <xf numFmtId="0" fontId="5" fillId="73" borderId="0" xfId="11696" applyFont="1" applyFill="1"/>
    <xf numFmtId="0" fontId="9" fillId="2" borderId="0" xfId="3" applyFont="1" applyFill="1"/>
    <xf numFmtId="0" fontId="5" fillId="2" borderId="0" xfId="3" applyFont="1" applyFill="1"/>
    <xf numFmtId="0" fontId="5" fillId="2" borderId="0" xfId="3" applyFont="1" applyFill="1" applyAlignment="1">
      <alignment horizontal="right"/>
    </xf>
    <xf numFmtId="3" fontId="5" fillId="2" borderId="0" xfId="3" applyNumberFormat="1" applyFont="1" applyFill="1"/>
    <xf numFmtId="3" fontId="5" fillId="2" borderId="0" xfId="3" applyNumberFormat="1" applyFont="1" applyFill="1" applyAlignment="1">
      <alignment horizontal="right"/>
    </xf>
    <xf numFmtId="3" fontId="9" fillId="2" borderId="0" xfId="3" applyNumberFormat="1" applyFont="1" applyFill="1"/>
    <xf numFmtId="0" fontId="102" fillId="0" borderId="0" xfId="11696" applyFont="1" applyAlignment="1">
      <alignment horizontal="right"/>
    </xf>
    <xf numFmtId="0" fontId="9" fillId="0" borderId="0" xfId="11696" applyFont="1" applyAlignment="1">
      <alignment horizontal="right"/>
    </xf>
    <xf numFmtId="3" fontId="5" fillId="0" borderId="0" xfId="11696" applyNumberFormat="1" applyFont="1"/>
    <xf numFmtId="0" fontId="5" fillId="0" borderId="0" xfId="11696" applyFont="1" applyAlignment="1">
      <alignment horizontal="right"/>
    </xf>
    <xf numFmtId="10" fontId="5" fillId="0" borderId="0" xfId="393" applyNumberFormat="1" applyFont="1" applyFill="1" applyBorder="1"/>
    <xf numFmtId="9" fontId="5" fillId="0" borderId="0" xfId="393" applyFont="1" applyFill="1" applyBorder="1"/>
    <xf numFmtId="0" fontId="89" fillId="77" borderId="33" xfId="522" applyFont="1" applyFill="1" applyBorder="1" applyAlignment="1">
      <alignment vertical="top"/>
    </xf>
    <xf numFmtId="0" fontId="88" fillId="2" borderId="0" xfId="0" applyFont="1" applyFill="1" applyAlignment="1">
      <alignment horizontal="left" vertical="top"/>
    </xf>
    <xf numFmtId="0" fontId="80" fillId="2" borderId="1" xfId="0" applyFont="1" applyFill="1" applyBorder="1" applyAlignment="1">
      <alignment vertical="top" wrapText="1"/>
    </xf>
    <xf numFmtId="0" fontId="80" fillId="2" borderId="1" xfId="0" applyFont="1" applyFill="1" applyBorder="1" applyAlignment="1">
      <alignment horizontal="left" vertical="top" wrapText="1"/>
    </xf>
    <xf numFmtId="0" fontId="106" fillId="2" borderId="1" xfId="0" applyFont="1" applyFill="1" applyBorder="1" applyAlignment="1">
      <alignment horizontal="left" vertical="top"/>
    </xf>
    <xf numFmtId="0" fontId="80" fillId="2" borderId="0" xfId="0" applyFont="1" applyFill="1" applyAlignment="1">
      <alignment vertical="top" wrapText="1"/>
    </xf>
    <xf numFmtId="0" fontId="154" fillId="2" borderId="1" xfId="0" applyFont="1" applyFill="1" applyBorder="1" applyAlignment="1">
      <alignment vertical="top" wrapText="1"/>
    </xf>
    <xf numFmtId="0" fontId="154" fillId="2" borderId="1" xfId="0" applyFont="1" applyFill="1" applyBorder="1" applyAlignment="1">
      <alignment horizontal="left" vertical="top" wrapText="1"/>
    </xf>
    <xf numFmtId="0" fontId="155" fillId="2" borderId="0" xfId="0" applyFont="1" applyFill="1" applyAlignment="1">
      <alignment vertical="top" wrapText="1"/>
    </xf>
    <xf numFmtId="0" fontId="155" fillId="2" borderId="0" xfId="0" applyFont="1" applyFill="1" applyAlignment="1">
      <alignment horizontal="left" vertical="top" wrapText="1"/>
    </xf>
    <xf numFmtId="0" fontId="157" fillId="2" borderId="0" xfId="0" applyFont="1" applyFill="1" applyAlignment="1">
      <alignment horizontal="left" vertical="top" wrapText="1"/>
    </xf>
    <xf numFmtId="0" fontId="78" fillId="2" borderId="27" xfId="0" applyFont="1" applyFill="1" applyBorder="1" applyAlignment="1">
      <alignment vertical="top" wrapText="1"/>
    </xf>
    <xf numFmtId="0" fontId="78" fillId="2" borderId="1" xfId="0" applyFont="1" applyFill="1" applyBorder="1" applyAlignment="1">
      <alignment vertical="top" wrapText="1"/>
    </xf>
    <xf numFmtId="0" fontId="78" fillId="2" borderId="1" xfId="0" applyFont="1" applyFill="1" applyBorder="1" applyAlignment="1">
      <alignment horizontal="left" vertical="top" wrapText="1"/>
    </xf>
    <xf numFmtId="0" fontId="157" fillId="2" borderId="1" xfId="0" applyFont="1" applyFill="1" applyBorder="1" applyAlignment="1">
      <alignment horizontal="left" vertical="top" wrapText="1"/>
    </xf>
    <xf numFmtId="0" fontId="78" fillId="2" borderId="0" xfId="0" applyFont="1" applyFill="1" applyAlignment="1">
      <alignment vertical="top" wrapText="1"/>
    </xf>
    <xf numFmtId="0" fontId="82" fillId="2" borderId="0" xfId="0" applyFont="1" applyFill="1" applyAlignment="1">
      <alignment vertical="top" wrapText="1"/>
    </xf>
    <xf numFmtId="0" fontId="157" fillId="0" borderId="0" xfId="0" applyFont="1" applyAlignment="1">
      <alignment horizontal="left" vertical="top" wrapText="1"/>
    </xf>
    <xf numFmtId="0" fontId="80" fillId="2" borderId="2" xfId="0" applyFont="1" applyFill="1" applyBorder="1" applyAlignment="1">
      <alignment vertical="top" wrapText="1"/>
    </xf>
    <xf numFmtId="0" fontId="80" fillId="2" borderId="0" xfId="0" applyFont="1" applyFill="1" applyAlignment="1">
      <alignment horizontal="left" vertical="top" wrapText="1"/>
    </xf>
    <xf numFmtId="0" fontId="83" fillId="55" borderId="0" xfId="0" applyFont="1" applyFill="1" applyAlignment="1">
      <alignment horizontal="left" vertical="center" wrapText="1"/>
    </xf>
    <xf numFmtId="0" fontId="144" fillId="2" borderId="0" xfId="0" applyFont="1" applyFill="1" applyAlignment="1">
      <alignment horizontal="left" vertical="top" wrapText="1"/>
    </xf>
    <xf numFmtId="0" fontId="185" fillId="2" borderId="0" xfId="0" applyFont="1" applyFill="1" applyAlignment="1">
      <alignment horizontal="left" vertical="top" wrapText="1"/>
    </xf>
    <xf numFmtId="0" fontId="5" fillId="0" borderId="0" xfId="0" quotePrefix="1"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lignment horizontal="center" vertical="center"/>
    </xf>
    <xf numFmtId="0" fontId="9" fillId="2" borderId="0" xfId="0" applyFont="1" applyFill="1" applyAlignment="1">
      <alignment horizontal="center" vertical="center"/>
    </xf>
    <xf numFmtId="0" fontId="9" fillId="2" borderId="34" xfId="0" applyFont="1" applyFill="1" applyBorder="1" applyAlignment="1">
      <alignment horizontal="center" vertical="center"/>
    </xf>
    <xf numFmtId="0" fontId="9" fillId="0" borderId="0" xfId="0" applyFont="1" applyAlignment="1">
      <alignment horizontal="center"/>
    </xf>
    <xf numFmtId="0" fontId="9" fillId="0" borderId="34" xfId="0" applyFont="1" applyBorder="1" applyAlignment="1">
      <alignment horizontal="center" vertical="center"/>
    </xf>
    <xf numFmtId="0" fontId="9" fillId="2" borderId="0" xfId="0" applyFont="1" applyFill="1" applyAlignment="1">
      <alignment horizontal="center"/>
    </xf>
    <xf numFmtId="0" fontId="9" fillId="2" borderId="34" xfId="0" applyFont="1" applyFill="1" applyBorder="1" applyAlignment="1">
      <alignment horizontal="center"/>
    </xf>
    <xf numFmtId="0" fontId="9" fillId="0" borderId="34" xfId="0" applyFont="1" applyBorder="1" applyAlignment="1">
      <alignment horizontal="center"/>
    </xf>
    <xf numFmtId="0" fontId="100" fillId="2" borderId="0" xfId="0" applyFont="1" applyFill="1" applyAlignment="1">
      <alignment horizontal="left" vertical="top" wrapText="1"/>
    </xf>
    <xf numFmtId="0" fontId="102" fillId="0" borderId="0" xfId="0" applyFont="1" applyAlignment="1">
      <alignment horizontal="center" vertical="center" wrapText="1"/>
    </xf>
    <xf numFmtId="0" fontId="152" fillId="2" borderId="27" xfId="0" applyFont="1" applyFill="1" applyBorder="1" applyAlignment="1">
      <alignment horizontal="left" vertical="top" wrapText="1"/>
    </xf>
    <xf numFmtId="0" fontId="152" fillId="2" borderId="0" xfId="0" applyFont="1" applyFill="1" applyAlignment="1">
      <alignment horizontal="left" vertical="top" wrapText="1"/>
    </xf>
    <xf numFmtId="0" fontId="103" fillId="72" borderId="0" xfId="0" applyFont="1" applyFill="1" applyAlignment="1">
      <alignment horizontal="left" vertical="top" wrapText="1"/>
    </xf>
  </cellXfs>
  <cellStyles count="11697">
    <cellStyle name="%_j" xfId="523" xr:uid="{00000000-0005-0000-0000-000000000000}"/>
    <cellStyle name="_Bank Draft-May 08" xfId="12" xr:uid="{00000000-0005-0000-0000-000001000000}"/>
    <cellStyle name="_Book3" xfId="13" xr:uid="{00000000-0005-0000-0000-000002000000}"/>
    <cellStyle name="_Book4" xfId="14" xr:uid="{00000000-0005-0000-0000-000003000000}"/>
    <cellStyle name="_Column1" xfId="6217" xr:uid="{8CAB3849-AFCC-4A26-B5FE-B14022689055}"/>
    <cellStyle name="_Column2" xfId="6218" xr:uid="{37908724-EBA8-49F1-875F-8F4F300A4845}"/>
    <cellStyle name="_Column3" xfId="6219" xr:uid="{FAE65D46-9F65-43F0-973C-304A37E91A00}"/>
    <cellStyle name="_Column4" xfId="6220" xr:uid="{586524E8-2E32-41C0-88B9-F7018FE85858}"/>
    <cellStyle name="_Column5" xfId="6221" xr:uid="{2C7B8A72-3377-4C20-B9D2-7DF77EE7F9FE}"/>
    <cellStyle name="_Column6" xfId="6222" xr:uid="{E5ED0DB5-1F57-404D-A3ED-427000FF85FE}"/>
    <cellStyle name="_Column7" xfId="6223" xr:uid="{9FBB4E2D-C4E3-4978-9D14-66EEB2053D68}"/>
    <cellStyle name="_Data" xfId="6224" xr:uid="{963F66D3-966C-4AF8-B987-24F3E46F8FEC}"/>
    <cellStyle name="_Finance OH Allocation-B 2009-V1" xfId="15" xr:uid="{00000000-0005-0000-0000-000004000000}"/>
    <cellStyle name="_Header" xfId="6225" xr:uid="{FA18E43A-0A11-468A-BD1C-3BE1816365D7}"/>
    <cellStyle name="_Heading" xfId="16" xr:uid="{00000000-0005-0000-0000-000005000000}"/>
    <cellStyle name="_J029-BPI bank recon" xfId="6226" xr:uid="{2000BE1F-0B20-4E72-B390-4B998C47FA64}"/>
    <cellStyle name="_J029-BPI bank recon 2" xfId="6227" xr:uid="{17E5D8B6-3212-4269-9782-4E941749A12D}"/>
    <cellStyle name="_Jack-BI" xfId="17" xr:uid="{00000000-0005-0000-0000-000006000000}"/>
    <cellStyle name="_James-BI" xfId="18" xr:uid="{00000000-0005-0000-0000-000007000000}"/>
    <cellStyle name="_Leslie-BI" xfId="19" xr:uid="{00000000-0005-0000-0000-000008000000}"/>
    <cellStyle name="_Material Purchase-Jan 2009" xfId="20" xr:uid="{00000000-0005-0000-0000-000009000000}"/>
    <cellStyle name="_OH FYF information-Aug 08" xfId="21" xr:uid="{00000000-0005-0000-0000-00000A000000}"/>
    <cellStyle name="_Operation report-Aug 08" xfId="22" xr:uid="{00000000-0005-0000-0000-00000B000000}"/>
    <cellStyle name="_Overheads Format" xfId="23" xr:uid="{00000000-0005-0000-0000-00000C000000}"/>
    <cellStyle name="_Overheads-Nov-2007" xfId="24" xr:uid="{00000000-0005-0000-0000-00000D000000}"/>
    <cellStyle name="_Raymond-BI" xfId="25" xr:uid="{00000000-0005-0000-0000-00000E000000}"/>
    <cellStyle name="_Row1" xfId="6228" xr:uid="{F53540DD-7FAC-4394-8ED0-643442AEFDA3}"/>
    <cellStyle name="_Row1_Data" xfId="6229" xr:uid="{E706371A-CF0A-41A5-83C1-6E0D5DE017B7}"/>
    <cellStyle name="_Row1_Data Ext ES" xfId="6230" xr:uid="{D6D0F699-F7FA-4633-8113-6525917234F0}"/>
    <cellStyle name="_Row2" xfId="6231" xr:uid="{75358050-A70D-4190-A603-97CC104605D9}"/>
    <cellStyle name="_Row3" xfId="6232" xr:uid="{BF57671D-13CF-48EF-A2A4-1FA9A1939480}"/>
    <cellStyle name="_Row4" xfId="6233" xr:uid="{47DBF817-11CA-4D93-BF36-D35575877E69}"/>
    <cellStyle name="_Row5" xfId="6234" xr:uid="{E120ED4D-0999-4983-A31D-90A847116A8F}"/>
    <cellStyle name="_Row6" xfId="6235" xr:uid="{17851229-B99D-4E5C-B98C-274A683F372B}"/>
    <cellStyle name="_Row7" xfId="6236" xr:uid="{6DF5C150-03C8-4402-9C71-B9BA7178ED9B}"/>
    <cellStyle name="_Salary- B 2009-V1" xfId="26" xr:uid="{00000000-0005-0000-0000-00000F000000}"/>
    <cellStyle name="_Sales-B 2009-V2" xfId="27" xr:uid="{00000000-0005-0000-0000-000010000000}"/>
    <cellStyle name="_TableHead" xfId="28" xr:uid="{00000000-0005-0000-0000-000011000000}"/>
    <cellStyle name="_TableHead_evdre" xfId="524" xr:uid="{00000000-0005-0000-0000-000012000000}"/>
    <cellStyle name="_TableSuperHead" xfId="29" xr:uid="{00000000-0005-0000-0000-000013000000}"/>
    <cellStyle name="_Total-BI" xfId="30" xr:uid="{00000000-0005-0000-0000-000014000000}"/>
    <cellStyle name="_Wendy-BI" xfId="31" xr:uid="{00000000-0005-0000-0000-000015000000}"/>
    <cellStyle name="_Yangmin-BI" xfId="32" xr:uid="{00000000-0005-0000-0000-000016000000}"/>
    <cellStyle name="0,0_j" xfId="525" xr:uid="{00000000-0005-0000-0000-000017000000}"/>
    <cellStyle name="0,00_j" xfId="526" xr:uid="{00000000-0005-0000-0000-000018000000}"/>
    <cellStyle name="0_j" xfId="527" xr:uid="{00000000-0005-0000-0000-000019000000}"/>
    <cellStyle name="20 % - Akzent1" xfId="6237" xr:uid="{52507F3B-04CC-4004-B758-0A9560974D21}"/>
    <cellStyle name="20 % - Akzent1 2" xfId="6238" xr:uid="{0C8096E8-0A87-4AF7-8584-277839713397}"/>
    <cellStyle name="20 % - Akzent2" xfId="6239" xr:uid="{6182B595-5308-4743-B4F8-0E0FBA21695B}"/>
    <cellStyle name="20 % - Akzent2 2" xfId="6240" xr:uid="{07C7255B-1FEB-4EE3-94B5-EBD66D76002C}"/>
    <cellStyle name="20 % - Akzent3" xfId="6241" xr:uid="{ECDE4C50-6EB5-438C-98F4-8ED15E97FE37}"/>
    <cellStyle name="20 % - Akzent3 2" xfId="6242" xr:uid="{BFD9251D-B327-42F9-A6AC-BC5E6B0807A0}"/>
    <cellStyle name="20 % - Akzent4" xfId="6243" xr:uid="{A17580C3-419A-4AF6-A211-D3EE10B06DEF}"/>
    <cellStyle name="20 % - Akzent4 2" xfId="6244" xr:uid="{B3C0BBAA-124F-4292-9257-69E605C70D00}"/>
    <cellStyle name="20 % - Akzent5" xfId="6245" xr:uid="{87A982B4-436D-4CDC-8C61-CBED8CC8C754}"/>
    <cellStyle name="20 % - Akzent5 2" xfId="6246" xr:uid="{8ACE842C-3ACF-4484-AE4D-D14851D098B1}"/>
    <cellStyle name="20 % - Akzent6" xfId="6247" xr:uid="{AD97297E-3738-4DAA-9CB2-509A28AE338B}"/>
    <cellStyle name="20 % - Akzent6 2" xfId="6248" xr:uid="{D7ED29C4-5771-4E31-9A3D-9F451E10E124}"/>
    <cellStyle name="20 % - Accent1" xfId="33" xr:uid="{00000000-0005-0000-0000-00001A000000}"/>
    <cellStyle name="20 % - Accent2" xfId="34" xr:uid="{00000000-0005-0000-0000-00001B000000}"/>
    <cellStyle name="20 % - Accent3" xfId="35" xr:uid="{00000000-0005-0000-0000-00001C000000}"/>
    <cellStyle name="20 % - Accent4" xfId="36" xr:uid="{00000000-0005-0000-0000-00001D000000}"/>
    <cellStyle name="20 % - Accent5" xfId="37" xr:uid="{00000000-0005-0000-0000-00001E000000}"/>
    <cellStyle name="20 % - Accent6" xfId="38" xr:uid="{00000000-0005-0000-0000-00001F000000}"/>
    <cellStyle name="20% - Accent1 10" xfId="528" xr:uid="{00000000-0005-0000-0000-000020000000}"/>
    <cellStyle name="20% - Accent1 11" xfId="529" xr:uid="{00000000-0005-0000-0000-000021000000}"/>
    <cellStyle name="20% - Accent1 12" xfId="530" xr:uid="{00000000-0005-0000-0000-000022000000}"/>
    <cellStyle name="20% - Accent1 13" xfId="531" xr:uid="{00000000-0005-0000-0000-000023000000}"/>
    <cellStyle name="20% - Accent1 14" xfId="6249" xr:uid="{847DBDB8-6648-4C46-83F9-FC3D4385EC48}"/>
    <cellStyle name="20% - Accent1 2" xfId="39" xr:uid="{00000000-0005-0000-0000-000024000000}"/>
    <cellStyle name="20% - Accent1 2 10" xfId="532" xr:uid="{00000000-0005-0000-0000-000025000000}"/>
    <cellStyle name="20% - Accent1 2 10 2" xfId="533" xr:uid="{00000000-0005-0000-0000-000026000000}"/>
    <cellStyle name="20% - Accent1 2 10 2 2" xfId="534" xr:uid="{00000000-0005-0000-0000-000027000000}"/>
    <cellStyle name="20% - Accent1 2 10 3" xfId="535" xr:uid="{00000000-0005-0000-0000-000028000000}"/>
    <cellStyle name="20% - Accent1 2 11" xfId="536" xr:uid="{00000000-0005-0000-0000-000029000000}"/>
    <cellStyle name="20% - Accent1 2 11 2" xfId="537" xr:uid="{00000000-0005-0000-0000-00002A000000}"/>
    <cellStyle name="20% - Accent1 2 11 2 2" xfId="538" xr:uid="{00000000-0005-0000-0000-00002B000000}"/>
    <cellStyle name="20% - Accent1 2 11 3" xfId="539" xr:uid="{00000000-0005-0000-0000-00002C000000}"/>
    <cellStyle name="20% - Accent1 2 12 2" xfId="540" xr:uid="{00000000-0005-0000-0000-00002D000000}"/>
    <cellStyle name="20% - Accent1 2 12 2 2" xfId="541" xr:uid="{00000000-0005-0000-0000-00002E000000}"/>
    <cellStyle name="20% - Accent1 2 12 3" xfId="542" xr:uid="{00000000-0005-0000-0000-00002F000000}"/>
    <cellStyle name="20% - Accent1 2 13" xfId="543" xr:uid="{00000000-0005-0000-0000-000030000000}"/>
    <cellStyle name="20% - Accent1 2 13 2" xfId="544" xr:uid="{00000000-0005-0000-0000-000031000000}"/>
    <cellStyle name="20% - Accent1 2 13 2 2" xfId="545" xr:uid="{00000000-0005-0000-0000-000032000000}"/>
    <cellStyle name="20% - Accent1 2 13 3" xfId="546" xr:uid="{00000000-0005-0000-0000-000033000000}"/>
    <cellStyle name="20% - Accent1 2 14" xfId="547" xr:uid="{00000000-0005-0000-0000-000034000000}"/>
    <cellStyle name="20% - Accent1 2 15" xfId="548" xr:uid="{00000000-0005-0000-0000-000035000000}"/>
    <cellStyle name="20% - Accent1 2 16" xfId="549" xr:uid="{00000000-0005-0000-0000-000036000000}"/>
    <cellStyle name="20% - Accent1 2 17" xfId="550" xr:uid="{00000000-0005-0000-0000-000037000000}"/>
    <cellStyle name="20% - Accent1 2 18" xfId="551" xr:uid="{00000000-0005-0000-0000-000038000000}"/>
    <cellStyle name="20% - Accent1 2 19" xfId="552" xr:uid="{00000000-0005-0000-0000-000039000000}"/>
    <cellStyle name="20% - Accent1 2 19 2" xfId="553" xr:uid="{00000000-0005-0000-0000-00003A000000}"/>
    <cellStyle name="20% - Accent1 2 2" xfId="554" xr:uid="{00000000-0005-0000-0000-00003B000000}"/>
    <cellStyle name="20% - Accent1 2 2 10" xfId="6250" xr:uid="{3EADA41E-90E6-4DAF-8B02-52D174DDC4FD}"/>
    <cellStyle name="20% - Accent1 2 2 11" xfId="6251" xr:uid="{B25A7CC0-C45B-4935-BB7A-8F4138D42077}"/>
    <cellStyle name="20% - Accent1 2 2 12" xfId="6252" xr:uid="{8EF099BA-7B3A-4357-95AA-062F9F00F5A5}"/>
    <cellStyle name="20% - Accent1 2 2 13" xfId="6253" xr:uid="{B7B799F4-559E-4DD5-AC51-FE2B9E7C1CD2}"/>
    <cellStyle name="20% - Accent1 2 2 14" xfId="6254" xr:uid="{90643CBE-1ED2-4E08-8A18-B10F7D21BC8A}"/>
    <cellStyle name="20% - Accent1 2 2 15" xfId="6255" xr:uid="{85E9B25A-52D4-47AC-A2F9-81E5B3B6B0F9}"/>
    <cellStyle name="20% - Accent1 2 2 16" xfId="6256" xr:uid="{20A00C2A-5613-4226-8BA6-4367492459A8}"/>
    <cellStyle name="20% - Accent1 2 2 17" xfId="6257" xr:uid="{17210525-2FD3-4424-91AF-3F594D7347CF}"/>
    <cellStyle name="20% - Accent1 2 2 18" xfId="6258" xr:uid="{586E3A32-DBB0-4C92-BB98-DCC627FD2EF7}"/>
    <cellStyle name="20% - Accent1 2 2 19" xfId="6259" xr:uid="{43982C50-AD6B-4382-9AA2-D7569F1BF01F}"/>
    <cellStyle name="20% - Accent1 2 2 2" xfId="555" xr:uid="{00000000-0005-0000-0000-00003C000000}"/>
    <cellStyle name="20% - Accent1 2 2 20" xfId="6260" xr:uid="{2D146089-DBBA-4880-8E27-4F7A6745285B}"/>
    <cellStyle name="20% - Accent1 2 2 21" xfId="6261" xr:uid="{D4B4F604-5527-475A-9323-90B9908F15C5}"/>
    <cellStyle name="20% - Accent1 2 2 22" xfId="6262" xr:uid="{7D589CBB-F421-44B8-99D2-1EB29DA25E07}"/>
    <cellStyle name="20% - Accent1 2 2 23" xfId="6263" xr:uid="{290CA852-32E1-4256-8520-D08EE7119D82}"/>
    <cellStyle name="20% - Accent1 2 2 24" xfId="6264" xr:uid="{AF166D86-C3B8-4F68-950E-DDD7BEAFFB1D}"/>
    <cellStyle name="20% - Accent1 2 2 25" xfId="6265" xr:uid="{65E0B3E3-0F6D-4F9C-ADD6-1C23F674D52D}"/>
    <cellStyle name="20% - Accent1 2 2 26" xfId="6266" xr:uid="{AB02BC5F-C8FA-4F6A-9B84-22EBC94BA5A0}"/>
    <cellStyle name="20% - Accent1 2 2 3" xfId="556" xr:uid="{00000000-0005-0000-0000-00003D000000}"/>
    <cellStyle name="20% - Accent1 2 2 4" xfId="557" xr:uid="{00000000-0005-0000-0000-00003E000000}"/>
    <cellStyle name="20% - Accent1 2 2 5" xfId="558" xr:uid="{00000000-0005-0000-0000-00003F000000}"/>
    <cellStyle name="20% - Accent1 2 2 6" xfId="559" xr:uid="{00000000-0005-0000-0000-000040000000}"/>
    <cellStyle name="20% - Accent1 2 2 7" xfId="560" xr:uid="{00000000-0005-0000-0000-000041000000}"/>
    <cellStyle name="20% - Accent1 2 2 8" xfId="561" xr:uid="{00000000-0005-0000-0000-000042000000}"/>
    <cellStyle name="20% - Accent1 2 2 8 2" xfId="562" xr:uid="{00000000-0005-0000-0000-000043000000}"/>
    <cellStyle name="20% - Accent1 2 2 8_Cash flow" xfId="6267" xr:uid="{AB8DEA7B-0C3C-47A7-B1D2-BF19557B0C83}"/>
    <cellStyle name="20% - Accent1 2 2 9" xfId="563" xr:uid="{00000000-0005-0000-0000-000044000000}"/>
    <cellStyle name="20% - Accent1 2 2_09-30 Admin exp" xfId="6268" xr:uid="{39AED27A-F71C-4052-AB88-F946EA8283ED}"/>
    <cellStyle name="20% - Accent1 2 3" xfId="564" xr:uid="{00000000-0005-0000-0000-000046000000}"/>
    <cellStyle name="20% - Accent1 2 3 10" xfId="565" xr:uid="{00000000-0005-0000-0000-000047000000}"/>
    <cellStyle name="20% - Accent1 2 3 11" xfId="566" xr:uid="{00000000-0005-0000-0000-000048000000}"/>
    <cellStyle name="20% - Accent1 2 3 12" xfId="567" xr:uid="{00000000-0005-0000-0000-000049000000}"/>
    <cellStyle name="20% - Accent1 2 3 13" xfId="568" xr:uid="{00000000-0005-0000-0000-00004A000000}"/>
    <cellStyle name="20% - Accent1 2 3 14" xfId="569" xr:uid="{00000000-0005-0000-0000-00004B000000}"/>
    <cellStyle name="20% - Accent1 2 3 15" xfId="570" xr:uid="{00000000-0005-0000-0000-00004C000000}"/>
    <cellStyle name="20% - Accent1 2 3 16" xfId="571" xr:uid="{00000000-0005-0000-0000-00004D000000}"/>
    <cellStyle name="20% - Accent1 2 3 17" xfId="572" xr:uid="{00000000-0005-0000-0000-00004E000000}"/>
    <cellStyle name="20% - Accent1 2 3 18" xfId="573" xr:uid="{00000000-0005-0000-0000-00004F000000}"/>
    <cellStyle name="20% - Accent1 2 3 18 2" xfId="574" xr:uid="{00000000-0005-0000-0000-000050000000}"/>
    <cellStyle name="20% - Accent1 2 3 19" xfId="575" xr:uid="{00000000-0005-0000-0000-000051000000}"/>
    <cellStyle name="20% - Accent1 2 3 2" xfId="576" xr:uid="{00000000-0005-0000-0000-000052000000}"/>
    <cellStyle name="20% - Accent1 2 3 2 10" xfId="577" xr:uid="{00000000-0005-0000-0000-000053000000}"/>
    <cellStyle name="20% - Accent1 2 3 2 11" xfId="578" xr:uid="{00000000-0005-0000-0000-000054000000}"/>
    <cellStyle name="20% - Accent1 2 3 2 12" xfId="579" xr:uid="{00000000-0005-0000-0000-000055000000}"/>
    <cellStyle name="20% - Accent1 2 3 2 2" xfId="580" xr:uid="{00000000-0005-0000-0000-000056000000}"/>
    <cellStyle name="20% - Accent1 2 3 2 3" xfId="581" xr:uid="{00000000-0005-0000-0000-000057000000}"/>
    <cellStyle name="20% - Accent1 2 3 2 4" xfId="582" xr:uid="{00000000-0005-0000-0000-000058000000}"/>
    <cellStyle name="20% - Accent1 2 3 2 5" xfId="583" xr:uid="{00000000-0005-0000-0000-000059000000}"/>
    <cellStyle name="20% - Accent1 2 3 2 6" xfId="584" xr:uid="{00000000-0005-0000-0000-00005A000000}"/>
    <cellStyle name="20% - Accent1 2 3 2 7" xfId="585" xr:uid="{00000000-0005-0000-0000-00005B000000}"/>
    <cellStyle name="20% - Accent1 2 3 2 8" xfId="586" xr:uid="{00000000-0005-0000-0000-00005C000000}"/>
    <cellStyle name="20% - Accent1 2 3 2 9" xfId="587" xr:uid="{00000000-0005-0000-0000-00005D000000}"/>
    <cellStyle name="20% - Accent1 2 3 3" xfId="588" xr:uid="{00000000-0005-0000-0000-00005E000000}"/>
    <cellStyle name="20% - Accent1 2 3 4" xfId="589" xr:uid="{00000000-0005-0000-0000-00005F000000}"/>
    <cellStyle name="20% - Accent1 2 3 5" xfId="590" xr:uid="{00000000-0005-0000-0000-000060000000}"/>
    <cellStyle name="20% - Accent1 2 3 6" xfId="591" xr:uid="{00000000-0005-0000-0000-000061000000}"/>
    <cellStyle name="20% - Accent1 2 3 7" xfId="592" xr:uid="{00000000-0005-0000-0000-000062000000}"/>
    <cellStyle name="20% - Accent1 2 3 8" xfId="593" xr:uid="{00000000-0005-0000-0000-000063000000}"/>
    <cellStyle name="20% - Accent1 2 3 9" xfId="594" xr:uid="{00000000-0005-0000-0000-000064000000}"/>
    <cellStyle name="20% - Accent1 2 3_Derivatives" xfId="595" xr:uid="{00000000-0005-0000-0000-000065000000}"/>
    <cellStyle name="20% - Accent1 2 4" xfId="596" xr:uid="{00000000-0005-0000-0000-000066000000}"/>
    <cellStyle name="20% - Accent1 2 4 2" xfId="597" xr:uid="{00000000-0005-0000-0000-000067000000}"/>
    <cellStyle name="20% - Accent1 2 4 2 2" xfId="598" xr:uid="{00000000-0005-0000-0000-000068000000}"/>
    <cellStyle name="20% - Accent1 2 4 3" xfId="599" xr:uid="{00000000-0005-0000-0000-000069000000}"/>
    <cellStyle name="20% - Accent1 2 4_EQU" xfId="600" xr:uid="{00000000-0005-0000-0000-00006A000000}"/>
    <cellStyle name="20% - Accent1 2 5" xfId="601" xr:uid="{00000000-0005-0000-0000-00006B000000}"/>
    <cellStyle name="20% - Accent1 2 5 2" xfId="602" xr:uid="{00000000-0005-0000-0000-00006C000000}"/>
    <cellStyle name="20% - Accent1 2 5 2 2" xfId="603" xr:uid="{00000000-0005-0000-0000-00006D000000}"/>
    <cellStyle name="20% - Accent1 2 5 3" xfId="604" xr:uid="{00000000-0005-0000-0000-00006E000000}"/>
    <cellStyle name="20% - Accent1 2 5_Derivatives" xfId="605" xr:uid="{00000000-0005-0000-0000-00006F000000}"/>
    <cellStyle name="20% - Accent1 2 6" xfId="606" xr:uid="{00000000-0005-0000-0000-000070000000}"/>
    <cellStyle name="20% - Accent1 2 6 2" xfId="607" xr:uid="{00000000-0005-0000-0000-000071000000}"/>
    <cellStyle name="20% - Accent1 2 6 2 2" xfId="608" xr:uid="{00000000-0005-0000-0000-000072000000}"/>
    <cellStyle name="20% - Accent1 2 6 3" xfId="609" xr:uid="{00000000-0005-0000-0000-000073000000}"/>
    <cellStyle name="20% - Accent1 2 6_Derivatives" xfId="610" xr:uid="{00000000-0005-0000-0000-000074000000}"/>
    <cellStyle name="20% - Accent1 2 7" xfId="611" xr:uid="{00000000-0005-0000-0000-000075000000}"/>
    <cellStyle name="20% - Accent1 2 7 2" xfId="612" xr:uid="{00000000-0005-0000-0000-000076000000}"/>
    <cellStyle name="20% - Accent1 2 7 2 2" xfId="613" xr:uid="{00000000-0005-0000-0000-000077000000}"/>
    <cellStyle name="20% - Accent1 2 7 3" xfId="614" xr:uid="{00000000-0005-0000-0000-000078000000}"/>
    <cellStyle name="20% - Accent1 2 7_Derivatives" xfId="615" xr:uid="{00000000-0005-0000-0000-000079000000}"/>
    <cellStyle name="20% - Accent1 2 8" xfId="616" xr:uid="{00000000-0005-0000-0000-00007A000000}"/>
    <cellStyle name="20% - Accent1 2 8 2" xfId="617" xr:uid="{00000000-0005-0000-0000-00007B000000}"/>
    <cellStyle name="20% - Accent1 2 8 2 2" xfId="618" xr:uid="{00000000-0005-0000-0000-00007C000000}"/>
    <cellStyle name="20% - Accent1 2 8 3" xfId="619" xr:uid="{00000000-0005-0000-0000-00007D000000}"/>
    <cellStyle name="20% - Accent1 2 8_Derivatives" xfId="620" xr:uid="{00000000-0005-0000-0000-00007E000000}"/>
    <cellStyle name="20% - Accent1 2 9" xfId="621" xr:uid="{00000000-0005-0000-0000-00007F000000}"/>
    <cellStyle name="20% - Accent1 2 9 2" xfId="622" xr:uid="{00000000-0005-0000-0000-000080000000}"/>
    <cellStyle name="20% - Accent1 2 9 2 2" xfId="623" xr:uid="{00000000-0005-0000-0000-000081000000}"/>
    <cellStyle name="20% - Accent1 2 9 3" xfId="624" xr:uid="{00000000-0005-0000-0000-000082000000}"/>
    <cellStyle name="20% - Accent1 2_5130_new" xfId="625" xr:uid="{00000000-0005-0000-0000-000083000000}"/>
    <cellStyle name="20% - Accent1 3" xfId="40" xr:uid="{00000000-0005-0000-0000-000084000000}"/>
    <cellStyle name="20% - Accent1 3 10" xfId="626" xr:uid="{00000000-0005-0000-0000-000085000000}"/>
    <cellStyle name="20% - Accent1 3 11" xfId="6269" xr:uid="{F54AFC7B-D7D0-4C72-AFFE-DE5175946F8A}"/>
    <cellStyle name="20% - Accent1 3 12" xfId="6270" xr:uid="{8CF0F65C-F82C-4266-BC62-FE73BD089994}"/>
    <cellStyle name="20% - Accent1 3 13" xfId="6271" xr:uid="{5ED2BDC4-6656-4DE6-8B7A-D261BD4FB889}"/>
    <cellStyle name="20% - Accent1 3 14" xfId="6272" xr:uid="{8316BD4B-1F3D-4AA9-AF5A-23AF8965D986}"/>
    <cellStyle name="20% - Accent1 3 15" xfId="6273" xr:uid="{C72F35E5-47AF-4023-BD90-929882E82D8E}"/>
    <cellStyle name="20% - Accent1 3 16" xfId="6274" xr:uid="{63F05CF4-2092-4415-BCFF-B37176D1A317}"/>
    <cellStyle name="20% - Accent1 3 17" xfId="6275" xr:uid="{92919FD1-9724-4396-992E-34F451B803F6}"/>
    <cellStyle name="20% - Accent1 3 18" xfId="6276" xr:uid="{AEC1824A-780C-487B-8531-C4381B534761}"/>
    <cellStyle name="20% - Accent1 3 19" xfId="6277" xr:uid="{34E0CBAE-CBF4-49FB-9120-21A391585F93}"/>
    <cellStyle name="20% - Accent1 3 2" xfId="627" xr:uid="{00000000-0005-0000-0000-000086000000}"/>
    <cellStyle name="20% - Accent1 3 2 2" xfId="628" xr:uid="{00000000-0005-0000-0000-000087000000}"/>
    <cellStyle name="20% - Accent1 3 2 2 2" xfId="629" xr:uid="{00000000-0005-0000-0000-000088000000}"/>
    <cellStyle name="20% - Accent1 3 2 3" xfId="630" xr:uid="{00000000-0005-0000-0000-000089000000}"/>
    <cellStyle name="20% - Accent1 3 2_Cash flow" xfId="6278" xr:uid="{C767240E-074E-43F6-9069-B851424940B0}"/>
    <cellStyle name="20% - Accent1 3 20" xfId="6279" xr:uid="{66793D95-88B2-4F7A-9CDA-A758541B2BCA}"/>
    <cellStyle name="20% - Accent1 3 21" xfId="6280" xr:uid="{B7BA4DD6-2BA8-44D8-A19C-A4B5124A375C}"/>
    <cellStyle name="20% - Accent1 3 22" xfId="6281" xr:uid="{6D91B8AA-60A2-4522-AF04-A4D6983F0CA0}"/>
    <cellStyle name="20% - Accent1 3 23" xfId="6282" xr:uid="{D0962321-B6A4-4466-AF9D-F7C8F1F8FD85}"/>
    <cellStyle name="20% - Accent1 3 24" xfId="6283" xr:uid="{5ECB0D00-71CE-49F5-B97F-1B7E67284973}"/>
    <cellStyle name="20% - Accent1 3 25" xfId="6284" xr:uid="{8E693F42-E553-405C-AA72-FF1A9E4C6246}"/>
    <cellStyle name="20% - Accent1 3 26" xfId="6285" xr:uid="{E38F0E6E-2BA5-4EAF-8F5A-43220EB14940}"/>
    <cellStyle name="20% - Accent1 3 3" xfId="631" xr:uid="{00000000-0005-0000-0000-00008B000000}"/>
    <cellStyle name="20% - Accent1 3 4" xfId="632" xr:uid="{00000000-0005-0000-0000-00008C000000}"/>
    <cellStyle name="20% - Accent1 3 5" xfId="633" xr:uid="{00000000-0005-0000-0000-00008D000000}"/>
    <cellStyle name="20% - Accent1 3 6" xfId="634" xr:uid="{00000000-0005-0000-0000-00008E000000}"/>
    <cellStyle name="20% - Accent1 3 7" xfId="635" xr:uid="{00000000-0005-0000-0000-00008F000000}"/>
    <cellStyle name="20% - Accent1 3 8" xfId="636" xr:uid="{00000000-0005-0000-0000-000090000000}"/>
    <cellStyle name="20% - Accent1 3 9" xfId="637" xr:uid="{00000000-0005-0000-0000-000091000000}"/>
    <cellStyle name="20% - Accent1 3 9 2" xfId="638" xr:uid="{00000000-0005-0000-0000-000092000000}"/>
    <cellStyle name="20% - Accent1 3 9_Cash flow" xfId="6286" xr:uid="{E681F5C0-8FBB-4E00-8AC7-EB69BC0EA76A}"/>
    <cellStyle name="20% - Accent1 3_Australia Results" xfId="6287" xr:uid="{AF320685-A1B1-4D8F-A202-20676CA76963}"/>
    <cellStyle name="20% - Accent1 4" xfId="41" xr:uid="{00000000-0005-0000-0000-000094000000}"/>
    <cellStyle name="20% - Accent1 4 10" xfId="639" xr:uid="{00000000-0005-0000-0000-000095000000}"/>
    <cellStyle name="20% - Accent1 4 2" xfId="640" xr:uid="{00000000-0005-0000-0000-000096000000}"/>
    <cellStyle name="20% - Accent1 4 2 2" xfId="641" xr:uid="{00000000-0005-0000-0000-000097000000}"/>
    <cellStyle name="20% - Accent1 4 2 2 2" xfId="642" xr:uid="{00000000-0005-0000-0000-000098000000}"/>
    <cellStyle name="20% - Accent1 4 2 3" xfId="643" xr:uid="{00000000-0005-0000-0000-000099000000}"/>
    <cellStyle name="20% - Accent1 4 2_EQU" xfId="644" xr:uid="{00000000-0005-0000-0000-00009A000000}"/>
    <cellStyle name="20% - Accent1 4 3" xfId="645" xr:uid="{00000000-0005-0000-0000-00009B000000}"/>
    <cellStyle name="20% - Accent1 4 4" xfId="646" xr:uid="{00000000-0005-0000-0000-00009C000000}"/>
    <cellStyle name="20% - Accent1 4 5" xfId="647" xr:uid="{00000000-0005-0000-0000-00009D000000}"/>
    <cellStyle name="20% - Accent1 4 6" xfId="648" xr:uid="{00000000-0005-0000-0000-00009E000000}"/>
    <cellStyle name="20% - Accent1 4 7" xfId="649" xr:uid="{00000000-0005-0000-0000-00009F000000}"/>
    <cellStyle name="20% - Accent1 4 8" xfId="650" xr:uid="{00000000-0005-0000-0000-0000A0000000}"/>
    <cellStyle name="20% - Accent1 4 9" xfId="651" xr:uid="{00000000-0005-0000-0000-0000A1000000}"/>
    <cellStyle name="20% - Accent1 4 9 2" xfId="652" xr:uid="{00000000-0005-0000-0000-0000A2000000}"/>
    <cellStyle name="20% - Accent1 4_Australia Results" xfId="6288" xr:uid="{98D62E02-D032-4C01-91CB-BFB913A15828}"/>
    <cellStyle name="20% - Accent1 5" xfId="42" xr:uid="{00000000-0005-0000-0000-0000A4000000}"/>
    <cellStyle name="20% - Accent1 5 2" xfId="653" xr:uid="{00000000-0005-0000-0000-0000A5000000}"/>
    <cellStyle name="20% - Accent1 5 2 2" xfId="654" xr:uid="{00000000-0005-0000-0000-0000A6000000}"/>
    <cellStyle name="20% - Accent1 5 2 2 2" xfId="655" xr:uid="{00000000-0005-0000-0000-0000A7000000}"/>
    <cellStyle name="20% - Accent1 5 2 3" xfId="656" xr:uid="{00000000-0005-0000-0000-0000A8000000}"/>
    <cellStyle name="20% - Accent1 5 2_Cash flow" xfId="6290" xr:uid="{DC37851D-7FC2-4AAC-A315-121B58EA8938}"/>
    <cellStyle name="20% - Accent1 5 3" xfId="657" xr:uid="{00000000-0005-0000-0000-0000A9000000}"/>
    <cellStyle name="20% - Accent1 5 3 2" xfId="658" xr:uid="{00000000-0005-0000-0000-0000AA000000}"/>
    <cellStyle name="20% - Accent1 5 4" xfId="659" xr:uid="{00000000-0005-0000-0000-0000AB000000}"/>
    <cellStyle name="20% - Accent1 5_Cash flow" xfId="6289" xr:uid="{37701641-3AD6-4952-82F9-C8CEBE39AB52}"/>
    <cellStyle name="20% - Accent1 6" xfId="660" xr:uid="{00000000-0005-0000-0000-0000AD000000}"/>
    <cellStyle name="20% - Accent1 6 2" xfId="661" xr:uid="{00000000-0005-0000-0000-0000AE000000}"/>
    <cellStyle name="20% - Accent1 6 2 2" xfId="662" xr:uid="{00000000-0005-0000-0000-0000AF000000}"/>
    <cellStyle name="20% - Accent1 6 2 2 2" xfId="663" xr:uid="{00000000-0005-0000-0000-0000B0000000}"/>
    <cellStyle name="20% - Accent1 6 2 3" xfId="664" xr:uid="{00000000-0005-0000-0000-0000B1000000}"/>
    <cellStyle name="20% - Accent1 6 2_Cash flow" xfId="6292" xr:uid="{8ABBB8D2-CCD3-45F3-8555-A1E82E65383A}"/>
    <cellStyle name="20% - Accent1 6 3" xfId="665" xr:uid="{00000000-0005-0000-0000-0000B2000000}"/>
    <cellStyle name="20% - Accent1 6 3 2" xfId="666" xr:uid="{00000000-0005-0000-0000-0000B3000000}"/>
    <cellStyle name="20% - Accent1 6 4" xfId="667" xr:uid="{00000000-0005-0000-0000-0000B4000000}"/>
    <cellStyle name="20% - Accent1 6_Cash flow" xfId="6291" xr:uid="{2E332028-C104-464E-90CE-04BC48458FFF}"/>
    <cellStyle name="20% - Accent1 7" xfId="668" xr:uid="{00000000-0005-0000-0000-0000B6000000}"/>
    <cellStyle name="20% - Accent1 7 2" xfId="669" xr:uid="{00000000-0005-0000-0000-0000B7000000}"/>
    <cellStyle name="20% - Accent1 7 2 2" xfId="670" xr:uid="{00000000-0005-0000-0000-0000B8000000}"/>
    <cellStyle name="20% - Accent1 7 3" xfId="671" xr:uid="{00000000-0005-0000-0000-0000B9000000}"/>
    <cellStyle name="20% - Accent1 7_Cash flow" xfId="6293" xr:uid="{EA93619B-91E2-413F-87E2-37CD1448DA05}"/>
    <cellStyle name="20% - Accent1 8" xfId="672" xr:uid="{00000000-0005-0000-0000-0000BB000000}"/>
    <cellStyle name="20% - Accent1 9" xfId="673" xr:uid="{00000000-0005-0000-0000-0000BC000000}"/>
    <cellStyle name="20% - Accent2 10" xfId="674" xr:uid="{00000000-0005-0000-0000-0000BD000000}"/>
    <cellStyle name="20% - Accent2 11" xfId="675" xr:uid="{00000000-0005-0000-0000-0000BE000000}"/>
    <cellStyle name="20% - Accent2 12" xfId="676" xr:uid="{00000000-0005-0000-0000-0000BF000000}"/>
    <cellStyle name="20% - Accent2 13" xfId="677" xr:uid="{00000000-0005-0000-0000-0000C0000000}"/>
    <cellStyle name="20% - Accent2 14" xfId="6294" xr:uid="{AA198F5F-CC85-47F2-8658-F4559D9B15EB}"/>
    <cellStyle name="20% - Accent2 2" xfId="43" xr:uid="{00000000-0005-0000-0000-0000C1000000}"/>
    <cellStyle name="20% - Accent2 2 10" xfId="678" xr:uid="{00000000-0005-0000-0000-0000C2000000}"/>
    <cellStyle name="20% - Accent2 2 10 2" xfId="679" xr:uid="{00000000-0005-0000-0000-0000C3000000}"/>
    <cellStyle name="20% - Accent2 2 10 2 2" xfId="680" xr:uid="{00000000-0005-0000-0000-0000C4000000}"/>
    <cellStyle name="20% - Accent2 2 10 3" xfId="681" xr:uid="{00000000-0005-0000-0000-0000C5000000}"/>
    <cellStyle name="20% - Accent2 2 11" xfId="682" xr:uid="{00000000-0005-0000-0000-0000C6000000}"/>
    <cellStyle name="20% - Accent2 2 11 2" xfId="683" xr:uid="{00000000-0005-0000-0000-0000C7000000}"/>
    <cellStyle name="20% - Accent2 2 11 2 2" xfId="684" xr:uid="{00000000-0005-0000-0000-0000C8000000}"/>
    <cellStyle name="20% - Accent2 2 11 3" xfId="685" xr:uid="{00000000-0005-0000-0000-0000C9000000}"/>
    <cellStyle name="20% - Accent2 2 12" xfId="686" xr:uid="{00000000-0005-0000-0000-0000CA000000}"/>
    <cellStyle name="20% - Accent2 2 12 2" xfId="687" xr:uid="{00000000-0005-0000-0000-0000CB000000}"/>
    <cellStyle name="20% - Accent2 2 12 2 2" xfId="688" xr:uid="{00000000-0005-0000-0000-0000CC000000}"/>
    <cellStyle name="20% - Accent2 2 12 3" xfId="689" xr:uid="{00000000-0005-0000-0000-0000CD000000}"/>
    <cellStyle name="20% - Accent2 2 13" xfId="690" xr:uid="{00000000-0005-0000-0000-0000CE000000}"/>
    <cellStyle name="20% - Accent2 2 13 2" xfId="691" xr:uid="{00000000-0005-0000-0000-0000CF000000}"/>
    <cellStyle name="20% - Accent2 2 13 2 2" xfId="692" xr:uid="{00000000-0005-0000-0000-0000D0000000}"/>
    <cellStyle name="20% - Accent2 2 13 3" xfId="693" xr:uid="{00000000-0005-0000-0000-0000D1000000}"/>
    <cellStyle name="20% - Accent2 2 14" xfId="694" xr:uid="{00000000-0005-0000-0000-0000D2000000}"/>
    <cellStyle name="20% - Accent2 2 15" xfId="695" xr:uid="{00000000-0005-0000-0000-0000D3000000}"/>
    <cellStyle name="20% - Accent2 2 16" xfId="696" xr:uid="{00000000-0005-0000-0000-0000D4000000}"/>
    <cellStyle name="20% - Accent2 2 17" xfId="697" xr:uid="{00000000-0005-0000-0000-0000D5000000}"/>
    <cellStyle name="20% - Accent2 2 18" xfId="698" xr:uid="{00000000-0005-0000-0000-0000D6000000}"/>
    <cellStyle name="20% - Accent2 2 19" xfId="699" xr:uid="{00000000-0005-0000-0000-0000D7000000}"/>
    <cellStyle name="20% - Accent2 2 19 2" xfId="700" xr:uid="{00000000-0005-0000-0000-0000D8000000}"/>
    <cellStyle name="20% - Accent2 2 2" xfId="701" xr:uid="{00000000-0005-0000-0000-0000D9000000}"/>
    <cellStyle name="20% - Accent2 2 2 10" xfId="6296" xr:uid="{18A341D3-2344-46D2-8B19-889D6DDC4611}"/>
    <cellStyle name="20% - Accent2 2 2 11" xfId="6297" xr:uid="{ADDDB2C1-0E06-4A3B-9216-E0A75A011337}"/>
    <cellStyle name="20% - Accent2 2 2 12" xfId="6298" xr:uid="{0AAD8FC0-88D6-4780-9400-F45AF7A10352}"/>
    <cellStyle name="20% - Accent2 2 2 13" xfId="6299" xr:uid="{AF516F28-EE51-4F1C-804F-2AACB9F347E0}"/>
    <cellStyle name="20% - Accent2 2 2 14" xfId="6300" xr:uid="{BC7C63E2-89AB-4B5C-ADB8-FE6C0E448D2A}"/>
    <cellStyle name="20% - Accent2 2 2 15" xfId="6301" xr:uid="{4DA2190E-7425-49C2-B692-3D1D253DBB19}"/>
    <cellStyle name="20% - Accent2 2 2 16" xfId="6302" xr:uid="{3FAED592-17A4-47D9-9CAC-A455E60B63FD}"/>
    <cellStyle name="20% - Accent2 2 2 17" xfId="6303" xr:uid="{F2D447D8-791B-48DC-AB16-AAE7446A8F54}"/>
    <cellStyle name="20% - Accent2 2 2 18" xfId="6304" xr:uid="{14E2C0EF-B6A8-408A-A424-7C1225D6B644}"/>
    <cellStyle name="20% - Accent2 2 2 19" xfId="6305" xr:uid="{14EE2926-26F1-46B0-9C27-43459D788778}"/>
    <cellStyle name="20% - Accent2 2 2 2" xfId="702" xr:uid="{00000000-0005-0000-0000-0000DA000000}"/>
    <cellStyle name="20% - Accent2 2 2 20" xfId="6306" xr:uid="{3BF6A60E-6A92-4B4E-A86F-18AD8C895582}"/>
    <cellStyle name="20% - Accent2 2 2 21" xfId="6307" xr:uid="{AF7DC0A2-5860-4281-9F2B-6A2BAF1C4CDC}"/>
    <cellStyle name="20% - Accent2 2 2 22" xfId="6308" xr:uid="{A3FA0FF1-A2F3-4C2E-B7F4-153BB7204291}"/>
    <cellStyle name="20% - Accent2 2 2 23" xfId="6309" xr:uid="{BBAEFFE5-EDD7-4A16-8094-B414523E2B10}"/>
    <cellStyle name="20% - Accent2 2 2 24" xfId="6310" xr:uid="{A92F0B39-DE42-460B-A25F-F4DEB1DC46DC}"/>
    <cellStyle name="20% - Accent2 2 2 25" xfId="6311" xr:uid="{6BF81CA4-A7E0-4195-A5AF-4956F6CD8CFD}"/>
    <cellStyle name="20% - Accent2 2 2 26" xfId="6312" xr:uid="{37B3C430-0DF9-400B-8466-627F3782D1A5}"/>
    <cellStyle name="20% - Accent2 2 2 3" xfId="703" xr:uid="{00000000-0005-0000-0000-0000DB000000}"/>
    <cellStyle name="20% - Accent2 2 2 4" xfId="704" xr:uid="{00000000-0005-0000-0000-0000DC000000}"/>
    <cellStyle name="20% - Accent2 2 2 5" xfId="705" xr:uid="{00000000-0005-0000-0000-0000DD000000}"/>
    <cellStyle name="20% - Accent2 2 2 6" xfId="706" xr:uid="{00000000-0005-0000-0000-0000DE000000}"/>
    <cellStyle name="20% - Accent2 2 2 7" xfId="707" xr:uid="{00000000-0005-0000-0000-0000DF000000}"/>
    <cellStyle name="20% - Accent2 2 2 8" xfId="708" xr:uid="{00000000-0005-0000-0000-0000E0000000}"/>
    <cellStyle name="20% - Accent2 2 2 8 2" xfId="709" xr:uid="{00000000-0005-0000-0000-0000E1000000}"/>
    <cellStyle name="20% - Accent2 2 2 8_Cash flow" xfId="6313" xr:uid="{AC4B340B-65AE-4D5A-97EC-597410A0972E}"/>
    <cellStyle name="20% - Accent2 2 2 9" xfId="710" xr:uid="{00000000-0005-0000-0000-0000E2000000}"/>
    <cellStyle name="20% - Accent2 2 2_Cash flow" xfId="6295" xr:uid="{5BE4C982-8634-4D37-94D2-A793471E46B6}"/>
    <cellStyle name="20% - Accent2 2 3" xfId="711" xr:uid="{00000000-0005-0000-0000-0000E4000000}"/>
    <cellStyle name="20% - Accent2 2 3 10" xfId="712" xr:uid="{00000000-0005-0000-0000-0000E5000000}"/>
    <cellStyle name="20% - Accent2 2 3 11" xfId="713" xr:uid="{00000000-0005-0000-0000-0000E6000000}"/>
    <cellStyle name="20% - Accent2 2 3 12" xfId="714" xr:uid="{00000000-0005-0000-0000-0000E7000000}"/>
    <cellStyle name="20% - Accent2 2 3 13" xfId="715" xr:uid="{00000000-0005-0000-0000-0000E8000000}"/>
    <cellStyle name="20% - Accent2 2 3 14" xfId="716" xr:uid="{00000000-0005-0000-0000-0000E9000000}"/>
    <cellStyle name="20% - Accent2 2 3 15" xfId="717" xr:uid="{00000000-0005-0000-0000-0000EA000000}"/>
    <cellStyle name="20% - Accent2 2 3 16" xfId="718" xr:uid="{00000000-0005-0000-0000-0000EB000000}"/>
    <cellStyle name="20% - Accent2 2 3 17" xfId="719" xr:uid="{00000000-0005-0000-0000-0000EC000000}"/>
    <cellStyle name="20% - Accent2 2 3 18" xfId="720" xr:uid="{00000000-0005-0000-0000-0000ED000000}"/>
    <cellStyle name="20% - Accent2 2 3 18 2" xfId="721" xr:uid="{00000000-0005-0000-0000-0000EE000000}"/>
    <cellStyle name="20% - Accent2 2 3 19" xfId="722" xr:uid="{00000000-0005-0000-0000-0000EF000000}"/>
    <cellStyle name="20% - Accent2 2 3 2" xfId="723" xr:uid="{00000000-0005-0000-0000-0000F0000000}"/>
    <cellStyle name="20% - Accent2 2 3 2 10" xfId="724" xr:uid="{00000000-0005-0000-0000-0000F1000000}"/>
    <cellStyle name="20% - Accent2 2 3 2 11" xfId="725" xr:uid="{00000000-0005-0000-0000-0000F2000000}"/>
    <cellStyle name="20% - Accent2 2 3 2 12" xfId="726" xr:uid="{00000000-0005-0000-0000-0000F3000000}"/>
    <cellStyle name="20% - Accent2 2 3 2 2" xfId="727" xr:uid="{00000000-0005-0000-0000-0000F4000000}"/>
    <cellStyle name="20% - Accent2 2 3 2 3" xfId="728" xr:uid="{00000000-0005-0000-0000-0000F5000000}"/>
    <cellStyle name="20% - Accent2 2 3 2 4" xfId="729" xr:uid="{00000000-0005-0000-0000-0000F6000000}"/>
    <cellStyle name="20% - Accent2 2 3 2 5" xfId="730" xr:uid="{00000000-0005-0000-0000-0000F7000000}"/>
    <cellStyle name="20% - Accent2 2 3 2 6" xfId="731" xr:uid="{00000000-0005-0000-0000-0000F8000000}"/>
    <cellStyle name="20% - Accent2 2 3 2 7" xfId="732" xr:uid="{00000000-0005-0000-0000-0000F9000000}"/>
    <cellStyle name="20% - Accent2 2 3 2 8" xfId="733" xr:uid="{00000000-0005-0000-0000-0000FA000000}"/>
    <cellStyle name="20% - Accent2 2 3 2 9" xfId="734" xr:uid="{00000000-0005-0000-0000-0000FB000000}"/>
    <cellStyle name="20% - Accent2 2 3 3" xfId="735" xr:uid="{00000000-0005-0000-0000-0000FC000000}"/>
    <cellStyle name="20% - Accent2 2 3 4" xfId="736" xr:uid="{00000000-0005-0000-0000-0000FD000000}"/>
    <cellStyle name="20% - Accent2 2 3 5" xfId="737" xr:uid="{00000000-0005-0000-0000-0000FE000000}"/>
    <cellStyle name="20% - Accent2 2 3 6" xfId="738" xr:uid="{00000000-0005-0000-0000-0000FF000000}"/>
    <cellStyle name="20% - Accent2 2 3 7" xfId="739" xr:uid="{00000000-0005-0000-0000-000000010000}"/>
    <cellStyle name="20% - Accent2 2 3 8" xfId="740" xr:uid="{00000000-0005-0000-0000-000001010000}"/>
    <cellStyle name="20% - Accent2 2 3 9" xfId="741" xr:uid="{00000000-0005-0000-0000-000002010000}"/>
    <cellStyle name="20% - Accent2 2 3_Derivatives" xfId="742" xr:uid="{00000000-0005-0000-0000-000003010000}"/>
    <cellStyle name="20% - Accent2 2 4" xfId="743" xr:uid="{00000000-0005-0000-0000-000004010000}"/>
    <cellStyle name="20% - Accent2 2 4 2" xfId="744" xr:uid="{00000000-0005-0000-0000-000005010000}"/>
    <cellStyle name="20% - Accent2 2 4 2 2" xfId="745" xr:uid="{00000000-0005-0000-0000-000006010000}"/>
    <cellStyle name="20% - Accent2 2 4 3" xfId="746" xr:uid="{00000000-0005-0000-0000-000007010000}"/>
    <cellStyle name="20% - Accent2 2 4_EQU" xfId="747" xr:uid="{00000000-0005-0000-0000-000008010000}"/>
    <cellStyle name="20% - Accent2 2 5" xfId="748" xr:uid="{00000000-0005-0000-0000-000009010000}"/>
    <cellStyle name="20% - Accent2 2 5 2" xfId="749" xr:uid="{00000000-0005-0000-0000-00000A010000}"/>
    <cellStyle name="20% - Accent2 2 5 2 2" xfId="750" xr:uid="{00000000-0005-0000-0000-00000B010000}"/>
    <cellStyle name="20% - Accent2 2 5 3" xfId="751" xr:uid="{00000000-0005-0000-0000-00000C010000}"/>
    <cellStyle name="20% - Accent2 2 5_Derivatives" xfId="752" xr:uid="{00000000-0005-0000-0000-00000D010000}"/>
    <cellStyle name="20% - Accent2 2 6" xfId="753" xr:uid="{00000000-0005-0000-0000-00000E010000}"/>
    <cellStyle name="20% - Accent2 2 6 2" xfId="754" xr:uid="{00000000-0005-0000-0000-00000F010000}"/>
    <cellStyle name="20% - Accent2 2 6 2 2" xfId="755" xr:uid="{00000000-0005-0000-0000-000010010000}"/>
    <cellStyle name="20% - Accent2 2 6 3" xfId="756" xr:uid="{00000000-0005-0000-0000-000011010000}"/>
    <cellStyle name="20% - Accent2 2 6_Derivatives" xfId="757" xr:uid="{00000000-0005-0000-0000-000012010000}"/>
    <cellStyle name="20% - Accent2 2 7" xfId="758" xr:uid="{00000000-0005-0000-0000-000013010000}"/>
    <cellStyle name="20% - Accent2 2 7 2" xfId="759" xr:uid="{00000000-0005-0000-0000-000014010000}"/>
    <cellStyle name="20% - Accent2 2 7 2 2" xfId="760" xr:uid="{00000000-0005-0000-0000-000015010000}"/>
    <cellStyle name="20% - Accent2 2 7 3" xfId="761" xr:uid="{00000000-0005-0000-0000-000016010000}"/>
    <cellStyle name="20% - Accent2 2 7_Derivatives" xfId="762" xr:uid="{00000000-0005-0000-0000-000017010000}"/>
    <cellStyle name="20% - Accent2 2 8" xfId="763" xr:uid="{00000000-0005-0000-0000-000018010000}"/>
    <cellStyle name="20% - Accent2 2 8 2" xfId="764" xr:uid="{00000000-0005-0000-0000-000019010000}"/>
    <cellStyle name="20% - Accent2 2 8 2 2" xfId="765" xr:uid="{00000000-0005-0000-0000-00001A010000}"/>
    <cellStyle name="20% - Accent2 2 8 3" xfId="766" xr:uid="{00000000-0005-0000-0000-00001B010000}"/>
    <cellStyle name="20% - Accent2 2 8_Derivatives" xfId="767" xr:uid="{00000000-0005-0000-0000-00001C010000}"/>
    <cellStyle name="20% - Accent2 2 9" xfId="768" xr:uid="{00000000-0005-0000-0000-00001D010000}"/>
    <cellStyle name="20% - Accent2 2 9 2" xfId="769" xr:uid="{00000000-0005-0000-0000-00001E010000}"/>
    <cellStyle name="20% - Accent2 2 9 2 2" xfId="770" xr:uid="{00000000-0005-0000-0000-00001F010000}"/>
    <cellStyle name="20% - Accent2 2 9 3" xfId="771" xr:uid="{00000000-0005-0000-0000-000020010000}"/>
    <cellStyle name="20% - Accent2 2_5130_new" xfId="772" xr:uid="{00000000-0005-0000-0000-000021010000}"/>
    <cellStyle name="20% - Accent2 3" xfId="44" xr:uid="{00000000-0005-0000-0000-000022010000}"/>
    <cellStyle name="20% - Accent2 3 10" xfId="773" xr:uid="{00000000-0005-0000-0000-000023010000}"/>
    <cellStyle name="20% - Accent2 3 11" xfId="6314" xr:uid="{56849188-BCCF-472D-A3AE-126A87E16582}"/>
    <cellStyle name="20% - Accent2 3 12" xfId="6315" xr:uid="{FEACF96D-5041-4548-A052-B85825DC763C}"/>
    <cellStyle name="20% - Accent2 3 13" xfId="6316" xr:uid="{76B34373-44CC-4E90-8825-839269C831E3}"/>
    <cellStyle name="20% - Accent2 3 14" xfId="6317" xr:uid="{D4CDD45D-7528-41A8-A1A3-B82DCEC27C6E}"/>
    <cellStyle name="20% - Accent2 3 15" xfId="6318" xr:uid="{E7CACEFF-2070-44B7-AC22-280511DD81FF}"/>
    <cellStyle name="20% - Accent2 3 16" xfId="6319" xr:uid="{79B900C2-1A0D-4B88-AA98-F89BF835CB3F}"/>
    <cellStyle name="20% - Accent2 3 17" xfId="6320" xr:uid="{4C312CFF-7DCD-4551-955D-916F5822B443}"/>
    <cellStyle name="20% - Accent2 3 18" xfId="6321" xr:uid="{F2CB7B8F-F893-4289-9001-66D909BE2B2A}"/>
    <cellStyle name="20% - Accent2 3 19" xfId="6322" xr:uid="{6F70BE70-F4A6-4EA4-909C-2F2FFF04CBCA}"/>
    <cellStyle name="20% - Accent2 3 2" xfId="774" xr:uid="{00000000-0005-0000-0000-000024010000}"/>
    <cellStyle name="20% - Accent2 3 2 2" xfId="775" xr:uid="{00000000-0005-0000-0000-000025010000}"/>
    <cellStyle name="20% - Accent2 3 2 2 2" xfId="776" xr:uid="{00000000-0005-0000-0000-000026010000}"/>
    <cellStyle name="20% - Accent2 3 2 3" xfId="777" xr:uid="{00000000-0005-0000-0000-000027010000}"/>
    <cellStyle name="20% - Accent2 3 2_Cash flow" xfId="6323" xr:uid="{D9D3D882-4BE5-4C15-B94C-5F577E88D226}"/>
    <cellStyle name="20% - Accent2 3 20" xfId="6324" xr:uid="{6BDA053A-4943-4C78-8B96-785363C31659}"/>
    <cellStyle name="20% - Accent2 3 21" xfId="6325" xr:uid="{571625B8-0885-4918-AE51-83BEF172D4C9}"/>
    <cellStyle name="20% - Accent2 3 22" xfId="6326" xr:uid="{BF732D4D-F7C3-4EF5-80C8-AC3A37A2E7E6}"/>
    <cellStyle name="20% - Accent2 3 23" xfId="6327" xr:uid="{C0A137A1-048D-4295-993A-D62B0FCE5088}"/>
    <cellStyle name="20% - Accent2 3 24" xfId="6328" xr:uid="{FA15CD56-1DD4-426C-809E-3763DFC640E6}"/>
    <cellStyle name="20% - Accent2 3 25" xfId="6329" xr:uid="{4749BA5D-4025-46B3-8319-BD55A3DA44C0}"/>
    <cellStyle name="20% - Accent2 3 26" xfId="6330" xr:uid="{5CAE0EEF-6C38-4BDC-B9AD-DF911F400E18}"/>
    <cellStyle name="20% - Accent2 3 3" xfId="778" xr:uid="{00000000-0005-0000-0000-000029010000}"/>
    <cellStyle name="20% - Accent2 3 4" xfId="779" xr:uid="{00000000-0005-0000-0000-00002A010000}"/>
    <cellStyle name="20% - Accent2 3 5" xfId="780" xr:uid="{00000000-0005-0000-0000-00002B010000}"/>
    <cellStyle name="20% - Accent2 3 6" xfId="781" xr:uid="{00000000-0005-0000-0000-00002C010000}"/>
    <cellStyle name="20% - Accent2 3 7" xfId="782" xr:uid="{00000000-0005-0000-0000-00002D010000}"/>
    <cellStyle name="20% - Accent2 3 8" xfId="783" xr:uid="{00000000-0005-0000-0000-00002E010000}"/>
    <cellStyle name="20% - Accent2 3 9" xfId="784" xr:uid="{00000000-0005-0000-0000-00002F010000}"/>
    <cellStyle name="20% - Accent2 3 9 2" xfId="785" xr:uid="{00000000-0005-0000-0000-000030010000}"/>
    <cellStyle name="20% - Accent2 3 9_Cash flow" xfId="6331" xr:uid="{0225CBC9-83C7-46D6-A010-38FAE7A9BEB7}"/>
    <cellStyle name="20% - Accent2 3_Australia Results" xfId="6332" xr:uid="{449819E9-3A85-4B64-A9F9-EA17AB70B24B}"/>
    <cellStyle name="20% - Accent2 4" xfId="45" xr:uid="{00000000-0005-0000-0000-000032010000}"/>
    <cellStyle name="20% - Accent2 4 10" xfId="786" xr:uid="{00000000-0005-0000-0000-000033010000}"/>
    <cellStyle name="20% - Accent2 4 2" xfId="787" xr:uid="{00000000-0005-0000-0000-000034010000}"/>
    <cellStyle name="20% - Accent2 4 2 2" xfId="788" xr:uid="{00000000-0005-0000-0000-000035010000}"/>
    <cellStyle name="20% - Accent2 4 2 2 2" xfId="789" xr:uid="{00000000-0005-0000-0000-000036010000}"/>
    <cellStyle name="20% - Accent2 4 2 3" xfId="790" xr:uid="{00000000-0005-0000-0000-000037010000}"/>
    <cellStyle name="20% - Accent2 4 2_EQU" xfId="791" xr:uid="{00000000-0005-0000-0000-000038010000}"/>
    <cellStyle name="20% - Accent2 4 3" xfId="792" xr:uid="{00000000-0005-0000-0000-000039010000}"/>
    <cellStyle name="20% - Accent2 4 4" xfId="793" xr:uid="{00000000-0005-0000-0000-00003A010000}"/>
    <cellStyle name="20% - Accent2 4 5" xfId="794" xr:uid="{00000000-0005-0000-0000-00003B010000}"/>
    <cellStyle name="20% - Accent2 4 6" xfId="795" xr:uid="{00000000-0005-0000-0000-00003C010000}"/>
    <cellStyle name="20% - Accent2 4 7" xfId="796" xr:uid="{00000000-0005-0000-0000-00003D010000}"/>
    <cellStyle name="20% - Accent2 4 8" xfId="797" xr:uid="{00000000-0005-0000-0000-00003E010000}"/>
    <cellStyle name="20% - Accent2 4 9" xfId="798" xr:uid="{00000000-0005-0000-0000-00003F010000}"/>
    <cellStyle name="20% - Accent2 4 9 2" xfId="799" xr:uid="{00000000-0005-0000-0000-000040010000}"/>
    <cellStyle name="20% - Accent2 4_Australia Results" xfId="6333" xr:uid="{F3E3652B-A797-4D08-92B2-A3B1D46FC498}"/>
    <cellStyle name="20% - Accent2 5" xfId="46" xr:uid="{00000000-0005-0000-0000-000042010000}"/>
    <cellStyle name="20% - Accent2 5 2" xfId="800" xr:uid="{00000000-0005-0000-0000-000043010000}"/>
    <cellStyle name="20% - Accent2 5 2 2" xfId="801" xr:uid="{00000000-0005-0000-0000-000044010000}"/>
    <cellStyle name="20% - Accent2 5 2 2 2" xfId="802" xr:uid="{00000000-0005-0000-0000-000045010000}"/>
    <cellStyle name="20% - Accent2 5 2 3" xfId="803" xr:uid="{00000000-0005-0000-0000-000046010000}"/>
    <cellStyle name="20% - Accent2 5 2_Cash flow" xfId="6335" xr:uid="{A1828C3F-A089-4F75-AF09-B5BBCD8A0F59}"/>
    <cellStyle name="20% - Accent2 5 3" xfId="804" xr:uid="{00000000-0005-0000-0000-000047010000}"/>
    <cellStyle name="20% - Accent2 5 3 2" xfId="805" xr:uid="{00000000-0005-0000-0000-000048010000}"/>
    <cellStyle name="20% - Accent2 5 4" xfId="806" xr:uid="{00000000-0005-0000-0000-000049010000}"/>
    <cellStyle name="20% - Accent2 5_Cash flow" xfId="6334" xr:uid="{49A4EF43-1C26-4352-AD94-A49FD10E8216}"/>
    <cellStyle name="20% - Accent2 6" xfId="807" xr:uid="{00000000-0005-0000-0000-00004B010000}"/>
    <cellStyle name="20% - Accent2 6 2" xfId="808" xr:uid="{00000000-0005-0000-0000-00004C010000}"/>
    <cellStyle name="20% - Accent2 6 2 2" xfId="809" xr:uid="{00000000-0005-0000-0000-00004D010000}"/>
    <cellStyle name="20% - Accent2 6 2 2 2" xfId="810" xr:uid="{00000000-0005-0000-0000-00004E010000}"/>
    <cellStyle name="20% - Accent2 6 2 3" xfId="811" xr:uid="{00000000-0005-0000-0000-00004F010000}"/>
    <cellStyle name="20% - Accent2 6 2_Cash flow" xfId="6337" xr:uid="{FBBFD499-6D0B-405C-AF85-5F2DBBECB91D}"/>
    <cellStyle name="20% - Accent2 6 3" xfId="812" xr:uid="{00000000-0005-0000-0000-000050010000}"/>
    <cellStyle name="20% - Accent2 6 3 2" xfId="813" xr:uid="{00000000-0005-0000-0000-000051010000}"/>
    <cellStyle name="20% - Accent2 6 4" xfId="814" xr:uid="{00000000-0005-0000-0000-000052010000}"/>
    <cellStyle name="20% - Accent2 6_Cash flow" xfId="6336" xr:uid="{43B7D860-1D3E-4E21-9573-35CAD502D575}"/>
    <cellStyle name="20% - Accent2 7" xfId="815" xr:uid="{00000000-0005-0000-0000-000054010000}"/>
    <cellStyle name="20% - Accent2 7 2" xfId="816" xr:uid="{00000000-0005-0000-0000-000055010000}"/>
    <cellStyle name="20% - Accent2 7 2 2" xfId="817" xr:uid="{00000000-0005-0000-0000-000056010000}"/>
    <cellStyle name="20% - Accent2 7 3" xfId="818" xr:uid="{00000000-0005-0000-0000-000057010000}"/>
    <cellStyle name="20% - Accent2 7_Cash flow" xfId="6338" xr:uid="{1C257364-1BCD-46D8-8A2B-F3394B685D1A}"/>
    <cellStyle name="20% - Accent2 8" xfId="819" xr:uid="{00000000-0005-0000-0000-000059010000}"/>
    <cellStyle name="20% - Accent2 9" xfId="820" xr:uid="{00000000-0005-0000-0000-00005A010000}"/>
    <cellStyle name="20% - Accent3 10" xfId="821" xr:uid="{00000000-0005-0000-0000-00005B010000}"/>
    <cellStyle name="20% - Accent3 11" xfId="822" xr:uid="{00000000-0005-0000-0000-00005C010000}"/>
    <cellStyle name="20% - Accent3 12" xfId="823" xr:uid="{00000000-0005-0000-0000-00005D010000}"/>
    <cellStyle name="20% - Accent3 13" xfId="824" xr:uid="{00000000-0005-0000-0000-00005E010000}"/>
    <cellStyle name="20% - Accent3 14" xfId="6339" xr:uid="{AD274A47-5C45-48C2-9747-E9E0ADD02AC8}"/>
    <cellStyle name="20% - Accent3 2" xfId="47" xr:uid="{00000000-0005-0000-0000-00005F010000}"/>
    <cellStyle name="20% - Accent3 2 10" xfId="825" xr:uid="{00000000-0005-0000-0000-000060010000}"/>
    <cellStyle name="20% - Accent3 2 10 2" xfId="826" xr:uid="{00000000-0005-0000-0000-000061010000}"/>
    <cellStyle name="20% - Accent3 2 10 2 2" xfId="827" xr:uid="{00000000-0005-0000-0000-000062010000}"/>
    <cellStyle name="20% - Accent3 2 10 3" xfId="828" xr:uid="{00000000-0005-0000-0000-000063010000}"/>
    <cellStyle name="20% - Accent3 2 11" xfId="829" xr:uid="{00000000-0005-0000-0000-000064010000}"/>
    <cellStyle name="20% - Accent3 2 11 2" xfId="830" xr:uid="{00000000-0005-0000-0000-000065010000}"/>
    <cellStyle name="20% - Accent3 2 11 2 2" xfId="831" xr:uid="{00000000-0005-0000-0000-000066010000}"/>
    <cellStyle name="20% - Accent3 2 11 3" xfId="832" xr:uid="{00000000-0005-0000-0000-000067010000}"/>
    <cellStyle name="20% - Accent3 2 12" xfId="833" xr:uid="{00000000-0005-0000-0000-000068010000}"/>
    <cellStyle name="20% - Accent3 2 12 2" xfId="834" xr:uid="{00000000-0005-0000-0000-000069010000}"/>
    <cellStyle name="20% - Accent3 2 12 2 2" xfId="835" xr:uid="{00000000-0005-0000-0000-00006A010000}"/>
    <cellStyle name="20% - Accent3 2 12 3" xfId="836" xr:uid="{00000000-0005-0000-0000-00006B010000}"/>
    <cellStyle name="20% - Accent3 2 13" xfId="837" xr:uid="{00000000-0005-0000-0000-00006C010000}"/>
    <cellStyle name="20% - Accent3 2 13 2" xfId="838" xr:uid="{00000000-0005-0000-0000-00006D010000}"/>
    <cellStyle name="20% - Accent3 2 13 2 2" xfId="839" xr:uid="{00000000-0005-0000-0000-00006E010000}"/>
    <cellStyle name="20% - Accent3 2 13 3" xfId="840" xr:uid="{00000000-0005-0000-0000-00006F010000}"/>
    <cellStyle name="20% - Accent3 2 14" xfId="841" xr:uid="{00000000-0005-0000-0000-000070010000}"/>
    <cellStyle name="20% - Accent3 2 15" xfId="842" xr:uid="{00000000-0005-0000-0000-000071010000}"/>
    <cellStyle name="20% - Accent3 2 16" xfId="843" xr:uid="{00000000-0005-0000-0000-000072010000}"/>
    <cellStyle name="20% - Accent3 2 17" xfId="844" xr:uid="{00000000-0005-0000-0000-000073010000}"/>
    <cellStyle name="20% - Accent3 2 18" xfId="845" xr:uid="{00000000-0005-0000-0000-000074010000}"/>
    <cellStyle name="20% - Accent3 2 19" xfId="846" xr:uid="{00000000-0005-0000-0000-000075010000}"/>
    <cellStyle name="20% - Accent3 2 19 2" xfId="847" xr:uid="{00000000-0005-0000-0000-000076010000}"/>
    <cellStyle name="20% - Accent3 2 2" xfId="848" xr:uid="{00000000-0005-0000-0000-000077010000}"/>
    <cellStyle name="20% - Accent3 2 2 10" xfId="6341" xr:uid="{EAED3A5C-4C53-4DE5-9CEC-C2F8E66AFAAB}"/>
    <cellStyle name="20% - Accent3 2 2 11" xfId="6342" xr:uid="{D2732EC4-70AC-4897-831E-46717EE4438A}"/>
    <cellStyle name="20% - Accent3 2 2 12" xfId="6343" xr:uid="{614F4A98-3E47-45DC-BFDC-48745FDBCB70}"/>
    <cellStyle name="20% - Accent3 2 2 13" xfId="6344" xr:uid="{DDB5A28B-C4A8-4DF9-8554-18E1FAB20515}"/>
    <cellStyle name="20% - Accent3 2 2 14" xfId="6345" xr:uid="{6A2C9208-33C3-4ACD-9864-AACC6E1F9891}"/>
    <cellStyle name="20% - Accent3 2 2 15" xfId="6346" xr:uid="{C89B373D-46C9-491F-BF82-CFD10A5B2F81}"/>
    <cellStyle name="20% - Accent3 2 2 16" xfId="6347" xr:uid="{B8CE67F0-4FE8-41C2-9E41-97326CF402E0}"/>
    <cellStyle name="20% - Accent3 2 2 17" xfId="6348" xr:uid="{ABB8CBE8-8593-4727-AFC1-173DED3CB000}"/>
    <cellStyle name="20% - Accent3 2 2 18" xfId="6349" xr:uid="{D8B8AB7D-00B5-40E1-875C-52E1AC57164F}"/>
    <cellStyle name="20% - Accent3 2 2 19" xfId="6350" xr:uid="{41434650-D6DE-413C-9E8C-1222C75F0500}"/>
    <cellStyle name="20% - Accent3 2 2 2" xfId="849" xr:uid="{00000000-0005-0000-0000-000078010000}"/>
    <cellStyle name="20% - Accent3 2 2 20" xfId="6351" xr:uid="{97FD26FE-121B-4708-BA58-FB568DA64344}"/>
    <cellStyle name="20% - Accent3 2 2 21" xfId="6352" xr:uid="{54710A91-4674-4A39-972F-D398E1B7DB86}"/>
    <cellStyle name="20% - Accent3 2 2 22" xfId="6353" xr:uid="{CD76EE7F-F210-41E8-B248-F78EE65D3DC6}"/>
    <cellStyle name="20% - Accent3 2 2 23" xfId="6354" xr:uid="{8EB6CBD7-F27F-45DB-98E3-1A5021B6D3F7}"/>
    <cellStyle name="20% - Accent3 2 2 24" xfId="6355" xr:uid="{D1C551DA-D6E2-4AF8-9F6D-0A078D6D7F47}"/>
    <cellStyle name="20% - Accent3 2 2 25" xfId="6356" xr:uid="{681F6341-242E-4089-AC0D-7D0CB21A1773}"/>
    <cellStyle name="20% - Accent3 2 2 26" xfId="6357" xr:uid="{2475C681-20D9-409E-9C88-56A80BAC343A}"/>
    <cellStyle name="20% - Accent3 2 2 3" xfId="850" xr:uid="{00000000-0005-0000-0000-000079010000}"/>
    <cellStyle name="20% - Accent3 2 2 4" xfId="851" xr:uid="{00000000-0005-0000-0000-00007A010000}"/>
    <cellStyle name="20% - Accent3 2 2 5" xfId="852" xr:uid="{00000000-0005-0000-0000-00007B010000}"/>
    <cellStyle name="20% - Accent3 2 2 6" xfId="853" xr:uid="{00000000-0005-0000-0000-00007C010000}"/>
    <cellStyle name="20% - Accent3 2 2 7" xfId="854" xr:uid="{00000000-0005-0000-0000-00007D010000}"/>
    <cellStyle name="20% - Accent3 2 2 8" xfId="855" xr:uid="{00000000-0005-0000-0000-00007E010000}"/>
    <cellStyle name="20% - Accent3 2 2 8 2" xfId="856" xr:uid="{00000000-0005-0000-0000-00007F010000}"/>
    <cellStyle name="20% - Accent3 2 2 8_Cash flow" xfId="6358" xr:uid="{BFE3C74B-C4DC-4066-AF6B-A7963DE31122}"/>
    <cellStyle name="20% - Accent3 2 2 9" xfId="857" xr:uid="{00000000-0005-0000-0000-000080010000}"/>
    <cellStyle name="20% - Accent3 2 2_Cash flow" xfId="6340" xr:uid="{9BFD3BA7-7F04-49EF-8A8F-D0BE405BE0BC}"/>
    <cellStyle name="20% - Accent3 2 3" xfId="858" xr:uid="{00000000-0005-0000-0000-000082010000}"/>
    <cellStyle name="20% - Accent3 2 3 10" xfId="859" xr:uid="{00000000-0005-0000-0000-000083010000}"/>
    <cellStyle name="20% - Accent3 2 3 11" xfId="860" xr:uid="{00000000-0005-0000-0000-000084010000}"/>
    <cellStyle name="20% - Accent3 2 3 12" xfId="861" xr:uid="{00000000-0005-0000-0000-000085010000}"/>
    <cellStyle name="20% - Accent3 2 3 13" xfId="862" xr:uid="{00000000-0005-0000-0000-000086010000}"/>
    <cellStyle name="20% - Accent3 2 3 14" xfId="863" xr:uid="{00000000-0005-0000-0000-000087010000}"/>
    <cellStyle name="20% - Accent3 2 3 15" xfId="864" xr:uid="{00000000-0005-0000-0000-000088010000}"/>
    <cellStyle name="20% - Accent3 2 3 16" xfId="865" xr:uid="{00000000-0005-0000-0000-000089010000}"/>
    <cellStyle name="20% - Accent3 2 3 17" xfId="866" xr:uid="{00000000-0005-0000-0000-00008A010000}"/>
    <cellStyle name="20% - Accent3 2 3 18" xfId="867" xr:uid="{00000000-0005-0000-0000-00008B010000}"/>
    <cellStyle name="20% - Accent3 2 3 18 2" xfId="868" xr:uid="{00000000-0005-0000-0000-00008C010000}"/>
    <cellStyle name="20% - Accent3 2 3 19" xfId="869" xr:uid="{00000000-0005-0000-0000-00008D010000}"/>
    <cellStyle name="20% - Accent3 2 3 2" xfId="870" xr:uid="{00000000-0005-0000-0000-00008E010000}"/>
    <cellStyle name="20% - Accent3 2 3 2 10" xfId="871" xr:uid="{00000000-0005-0000-0000-00008F010000}"/>
    <cellStyle name="20% - Accent3 2 3 2 11" xfId="872" xr:uid="{00000000-0005-0000-0000-000090010000}"/>
    <cellStyle name="20% - Accent3 2 3 2 12" xfId="873" xr:uid="{00000000-0005-0000-0000-000091010000}"/>
    <cellStyle name="20% - Accent3 2 3 2 2" xfId="874" xr:uid="{00000000-0005-0000-0000-000092010000}"/>
    <cellStyle name="20% - Accent3 2 3 2 3" xfId="875" xr:uid="{00000000-0005-0000-0000-000093010000}"/>
    <cellStyle name="20% - Accent3 2 3 2 4" xfId="876" xr:uid="{00000000-0005-0000-0000-000094010000}"/>
    <cellStyle name="20% - Accent3 2 3 2 5" xfId="877" xr:uid="{00000000-0005-0000-0000-000095010000}"/>
    <cellStyle name="20% - Accent3 2 3 2 6" xfId="878" xr:uid="{00000000-0005-0000-0000-000096010000}"/>
    <cellStyle name="20% - Accent3 2 3 2 7" xfId="879" xr:uid="{00000000-0005-0000-0000-000097010000}"/>
    <cellStyle name="20% - Accent3 2 3 2 8" xfId="880" xr:uid="{00000000-0005-0000-0000-000098010000}"/>
    <cellStyle name="20% - Accent3 2 3 2 9" xfId="881" xr:uid="{00000000-0005-0000-0000-000099010000}"/>
    <cellStyle name="20% - Accent3 2 3 3" xfId="882" xr:uid="{00000000-0005-0000-0000-00009A010000}"/>
    <cellStyle name="20% - Accent3 2 3 4" xfId="883" xr:uid="{00000000-0005-0000-0000-00009B010000}"/>
    <cellStyle name="20% - Accent3 2 3 5" xfId="884" xr:uid="{00000000-0005-0000-0000-00009C010000}"/>
    <cellStyle name="20% - Accent3 2 3 6" xfId="885" xr:uid="{00000000-0005-0000-0000-00009D010000}"/>
    <cellStyle name="20% - Accent3 2 3 7" xfId="886" xr:uid="{00000000-0005-0000-0000-00009E010000}"/>
    <cellStyle name="20% - Accent3 2 3 8" xfId="887" xr:uid="{00000000-0005-0000-0000-00009F010000}"/>
    <cellStyle name="20% - Accent3 2 3 9" xfId="888" xr:uid="{00000000-0005-0000-0000-0000A0010000}"/>
    <cellStyle name="20% - Accent3 2 3_Derivatives" xfId="889" xr:uid="{00000000-0005-0000-0000-0000A1010000}"/>
    <cellStyle name="20% - Accent3 2 4" xfId="890" xr:uid="{00000000-0005-0000-0000-0000A2010000}"/>
    <cellStyle name="20% - Accent3 2 4 2" xfId="891" xr:uid="{00000000-0005-0000-0000-0000A3010000}"/>
    <cellStyle name="20% - Accent3 2 4 2 2" xfId="892" xr:uid="{00000000-0005-0000-0000-0000A4010000}"/>
    <cellStyle name="20% - Accent3 2 4 3" xfId="893" xr:uid="{00000000-0005-0000-0000-0000A5010000}"/>
    <cellStyle name="20% - Accent3 2 4_EQU" xfId="894" xr:uid="{00000000-0005-0000-0000-0000A6010000}"/>
    <cellStyle name="20% - Accent3 2 5" xfId="895" xr:uid="{00000000-0005-0000-0000-0000A7010000}"/>
    <cellStyle name="20% - Accent3 2 5 2" xfId="896" xr:uid="{00000000-0005-0000-0000-0000A8010000}"/>
    <cellStyle name="20% - Accent3 2 5 2 2" xfId="897" xr:uid="{00000000-0005-0000-0000-0000A9010000}"/>
    <cellStyle name="20% - Accent3 2 5 3" xfId="898" xr:uid="{00000000-0005-0000-0000-0000AA010000}"/>
    <cellStyle name="20% - Accent3 2 5_Derivatives" xfId="899" xr:uid="{00000000-0005-0000-0000-0000AB010000}"/>
    <cellStyle name="20% - Accent3 2 6" xfId="900" xr:uid="{00000000-0005-0000-0000-0000AC010000}"/>
    <cellStyle name="20% - Accent3 2 6 2" xfId="901" xr:uid="{00000000-0005-0000-0000-0000AD010000}"/>
    <cellStyle name="20% - Accent3 2 6 2 2" xfId="902" xr:uid="{00000000-0005-0000-0000-0000AE010000}"/>
    <cellStyle name="20% - Accent3 2 6 3" xfId="903" xr:uid="{00000000-0005-0000-0000-0000AF010000}"/>
    <cellStyle name="20% - Accent3 2 6_Derivatives" xfId="904" xr:uid="{00000000-0005-0000-0000-0000B0010000}"/>
    <cellStyle name="20% - Accent3 2 7" xfId="905" xr:uid="{00000000-0005-0000-0000-0000B1010000}"/>
    <cellStyle name="20% - Accent3 2 7 2" xfId="906" xr:uid="{00000000-0005-0000-0000-0000B2010000}"/>
    <cellStyle name="20% - Accent3 2 7 2 2" xfId="907" xr:uid="{00000000-0005-0000-0000-0000B3010000}"/>
    <cellStyle name="20% - Accent3 2 7 3" xfId="908" xr:uid="{00000000-0005-0000-0000-0000B4010000}"/>
    <cellStyle name="20% - Accent3 2 7_Derivatives" xfId="909" xr:uid="{00000000-0005-0000-0000-0000B5010000}"/>
    <cellStyle name="20% - Accent3 2 8" xfId="910" xr:uid="{00000000-0005-0000-0000-0000B6010000}"/>
    <cellStyle name="20% - Accent3 2 8 2" xfId="911" xr:uid="{00000000-0005-0000-0000-0000B7010000}"/>
    <cellStyle name="20% - Accent3 2 8 2 2" xfId="912" xr:uid="{00000000-0005-0000-0000-0000B8010000}"/>
    <cellStyle name="20% - Accent3 2 8 3" xfId="913" xr:uid="{00000000-0005-0000-0000-0000B9010000}"/>
    <cellStyle name="20% - Accent3 2 8_Derivatives" xfId="914" xr:uid="{00000000-0005-0000-0000-0000BA010000}"/>
    <cellStyle name="20% - Accent3 2 9" xfId="915" xr:uid="{00000000-0005-0000-0000-0000BB010000}"/>
    <cellStyle name="20% - Accent3 2 9 2" xfId="916" xr:uid="{00000000-0005-0000-0000-0000BC010000}"/>
    <cellStyle name="20% - Accent3 2 9 2 2" xfId="917" xr:uid="{00000000-0005-0000-0000-0000BD010000}"/>
    <cellStyle name="20% - Accent3 2 9 3" xfId="918" xr:uid="{00000000-0005-0000-0000-0000BE010000}"/>
    <cellStyle name="20% - Accent3 2_5130_new" xfId="919" xr:uid="{00000000-0005-0000-0000-0000BF010000}"/>
    <cellStyle name="20% - Accent3 3" xfId="48" xr:uid="{00000000-0005-0000-0000-0000C0010000}"/>
    <cellStyle name="20% - Accent3 3 10" xfId="920" xr:uid="{00000000-0005-0000-0000-0000C1010000}"/>
    <cellStyle name="20% - Accent3 3 11" xfId="6359" xr:uid="{699BF0AD-3595-49D7-A8F9-0942180D1AE9}"/>
    <cellStyle name="20% - Accent3 3 12" xfId="6360" xr:uid="{AE16D500-59FD-486E-BAFC-19B00A52146F}"/>
    <cellStyle name="20% - Accent3 3 13" xfId="6361" xr:uid="{AED1D864-AB1A-4D6F-B67C-3727EE13E049}"/>
    <cellStyle name="20% - Accent3 3 14" xfId="6362" xr:uid="{EA9CEBCB-71E6-45AA-AB03-5E4ADA9CB91F}"/>
    <cellStyle name="20% - Accent3 3 15" xfId="6363" xr:uid="{9D69A42E-7668-4107-8366-540EF799F4DC}"/>
    <cellStyle name="20% - Accent3 3 16" xfId="6364" xr:uid="{5A21F8BE-F3C6-412F-AB5D-132522DD7FAD}"/>
    <cellStyle name="20% - Accent3 3 17" xfId="6365" xr:uid="{88C989ED-5110-4B3C-960F-B28BA2BD5734}"/>
    <cellStyle name="20% - Accent3 3 18" xfId="6366" xr:uid="{0C06B6AB-DBAD-4694-ABE7-1DE9E4080BAF}"/>
    <cellStyle name="20% - Accent3 3 19" xfId="6367" xr:uid="{FE099811-E2B7-4DB4-B2DC-C9CAC729957F}"/>
    <cellStyle name="20% - Accent3 3 2" xfId="921" xr:uid="{00000000-0005-0000-0000-0000C2010000}"/>
    <cellStyle name="20% - Accent3 3 2 2" xfId="922" xr:uid="{00000000-0005-0000-0000-0000C3010000}"/>
    <cellStyle name="20% - Accent3 3 2 2 2" xfId="923" xr:uid="{00000000-0005-0000-0000-0000C4010000}"/>
    <cellStyle name="20% - Accent3 3 2 3" xfId="924" xr:uid="{00000000-0005-0000-0000-0000C5010000}"/>
    <cellStyle name="20% - Accent3 3 2_Cash flow" xfId="6368" xr:uid="{AA0A7D2F-7893-4A68-B48C-84467DE4BCB0}"/>
    <cellStyle name="20% - Accent3 3 20" xfId="6369" xr:uid="{795C8653-AE1D-4775-AA29-70375548ECCF}"/>
    <cellStyle name="20% - Accent3 3 21" xfId="6370" xr:uid="{9DC39CA7-FD44-4ABF-887D-F445FE2FE674}"/>
    <cellStyle name="20% - Accent3 3 22" xfId="6371" xr:uid="{47BD9F58-02AF-4559-80BF-DC912BE34895}"/>
    <cellStyle name="20% - Accent3 3 23" xfId="6372" xr:uid="{318813BC-7F8A-4EDF-818D-42D538C51991}"/>
    <cellStyle name="20% - Accent3 3 24" xfId="6373" xr:uid="{F54FF585-97EB-4035-93B2-D34899BA31AC}"/>
    <cellStyle name="20% - Accent3 3 25" xfId="6374" xr:uid="{16EA3B5A-1F04-492A-A1B5-254520220C87}"/>
    <cellStyle name="20% - Accent3 3 26" xfId="6375" xr:uid="{135BC1A6-E287-4302-A0F6-B6B2A6C5550D}"/>
    <cellStyle name="20% - Accent3 3 3" xfId="925" xr:uid="{00000000-0005-0000-0000-0000C7010000}"/>
    <cellStyle name="20% - Accent3 3 4" xfId="926" xr:uid="{00000000-0005-0000-0000-0000C8010000}"/>
    <cellStyle name="20% - Accent3 3 5" xfId="927" xr:uid="{00000000-0005-0000-0000-0000C9010000}"/>
    <cellStyle name="20% - Accent3 3 6" xfId="928" xr:uid="{00000000-0005-0000-0000-0000CA010000}"/>
    <cellStyle name="20% - Accent3 3 7" xfId="929" xr:uid="{00000000-0005-0000-0000-0000CB010000}"/>
    <cellStyle name="20% - Accent3 3 8" xfId="930" xr:uid="{00000000-0005-0000-0000-0000CC010000}"/>
    <cellStyle name="20% - Accent3 3 9" xfId="931" xr:uid="{00000000-0005-0000-0000-0000CD010000}"/>
    <cellStyle name="20% - Accent3 3 9 2" xfId="932" xr:uid="{00000000-0005-0000-0000-0000CE010000}"/>
    <cellStyle name="20% - Accent3 3 9_Cash flow" xfId="6376" xr:uid="{0B4A6F82-196C-4318-BE30-BB6D16938E93}"/>
    <cellStyle name="20% - Accent3 3_Australia Results" xfId="6377" xr:uid="{2C1F094D-54D0-49AB-8749-CB65605CB1E4}"/>
    <cellStyle name="20% - Accent3 4" xfId="49" xr:uid="{00000000-0005-0000-0000-0000D0010000}"/>
    <cellStyle name="20% - Accent3 4 10" xfId="933" xr:uid="{00000000-0005-0000-0000-0000D1010000}"/>
    <cellStyle name="20% - Accent3 4 2" xfId="934" xr:uid="{00000000-0005-0000-0000-0000D2010000}"/>
    <cellStyle name="20% - Accent3 4 2 2" xfId="935" xr:uid="{00000000-0005-0000-0000-0000D3010000}"/>
    <cellStyle name="20% - Accent3 4 2 2 2" xfId="936" xr:uid="{00000000-0005-0000-0000-0000D4010000}"/>
    <cellStyle name="20% - Accent3 4 2 3" xfId="937" xr:uid="{00000000-0005-0000-0000-0000D5010000}"/>
    <cellStyle name="20% - Accent3 4 2_EQU" xfId="938" xr:uid="{00000000-0005-0000-0000-0000D6010000}"/>
    <cellStyle name="20% - Accent3 4 3" xfId="939" xr:uid="{00000000-0005-0000-0000-0000D7010000}"/>
    <cellStyle name="20% - Accent3 4 4" xfId="940" xr:uid="{00000000-0005-0000-0000-0000D8010000}"/>
    <cellStyle name="20% - Accent3 4 5" xfId="941" xr:uid="{00000000-0005-0000-0000-0000D9010000}"/>
    <cellStyle name="20% - Accent3 4 6" xfId="942" xr:uid="{00000000-0005-0000-0000-0000DA010000}"/>
    <cellStyle name="20% - Accent3 4 7" xfId="943" xr:uid="{00000000-0005-0000-0000-0000DB010000}"/>
    <cellStyle name="20% - Accent3 4 8" xfId="944" xr:uid="{00000000-0005-0000-0000-0000DC010000}"/>
    <cellStyle name="20% - Accent3 4 9" xfId="945" xr:uid="{00000000-0005-0000-0000-0000DD010000}"/>
    <cellStyle name="20% - Accent3 4 9 2" xfId="946" xr:uid="{00000000-0005-0000-0000-0000DE010000}"/>
    <cellStyle name="20% - Accent3 4_Australia Results" xfId="6378" xr:uid="{2C8857FE-DCE2-461A-B42D-356A94F8FE3A}"/>
    <cellStyle name="20% - Accent3 5" xfId="50" xr:uid="{00000000-0005-0000-0000-0000E0010000}"/>
    <cellStyle name="20% - Accent3 5 2" xfId="947" xr:uid="{00000000-0005-0000-0000-0000E1010000}"/>
    <cellStyle name="20% - Accent3 5 2 2" xfId="948" xr:uid="{00000000-0005-0000-0000-0000E2010000}"/>
    <cellStyle name="20% - Accent3 5 2 2 2" xfId="949" xr:uid="{00000000-0005-0000-0000-0000E3010000}"/>
    <cellStyle name="20% - Accent3 5 2 3" xfId="950" xr:uid="{00000000-0005-0000-0000-0000E4010000}"/>
    <cellStyle name="20% - Accent3 5 2_Cash flow" xfId="6380" xr:uid="{95A10841-8E54-418F-92E8-450BE1B2EA10}"/>
    <cellStyle name="20% - Accent3 5 3" xfId="951" xr:uid="{00000000-0005-0000-0000-0000E5010000}"/>
    <cellStyle name="20% - Accent3 5 3 2" xfId="952" xr:uid="{00000000-0005-0000-0000-0000E6010000}"/>
    <cellStyle name="20% - Accent3 5 4" xfId="953" xr:uid="{00000000-0005-0000-0000-0000E7010000}"/>
    <cellStyle name="20% - Accent3 5_Cash flow" xfId="6379" xr:uid="{EFC83507-97EA-48C1-B5E5-23323FD28B07}"/>
    <cellStyle name="20% - Accent3 6" xfId="954" xr:uid="{00000000-0005-0000-0000-0000E9010000}"/>
    <cellStyle name="20% - Accent3 6 2" xfId="955" xr:uid="{00000000-0005-0000-0000-0000EA010000}"/>
    <cellStyle name="20% - Accent3 6 2 2" xfId="956" xr:uid="{00000000-0005-0000-0000-0000EB010000}"/>
    <cellStyle name="20% - Accent3 6 2 2 2" xfId="957" xr:uid="{00000000-0005-0000-0000-0000EC010000}"/>
    <cellStyle name="20% - Accent3 6 2 3" xfId="958" xr:uid="{00000000-0005-0000-0000-0000ED010000}"/>
    <cellStyle name="20% - Accent3 6 2_Cash flow" xfId="6382" xr:uid="{48396D23-629A-41AE-90ED-5887941D1FA8}"/>
    <cellStyle name="20% - Accent3 6 3" xfId="959" xr:uid="{00000000-0005-0000-0000-0000EE010000}"/>
    <cellStyle name="20% - Accent3 6 3 2" xfId="960" xr:uid="{00000000-0005-0000-0000-0000EF010000}"/>
    <cellStyle name="20% - Accent3 6 4" xfId="961" xr:uid="{00000000-0005-0000-0000-0000F0010000}"/>
    <cellStyle name="20% - Accent3 6_Cash flow" xfId="6381" xr:uid="{D4085EC1-DCA1-48F1-BAAF-56A575915C40}"/>
    <cellStyle name="20% - Accent3 7" xfId="962" xr:uid="{00000000-0005-0000-0000-0000F2010000}"/>
    <cellStyle name="20% - Accent3 7 2" xfId="963" xr:uid="{00000000-0005-0000-0000-0000F3010000}"/>
    <cellStyle name="20% - Accent3 7 2 2" xfId="964" xr:uid="{00000000-0005-0000-0000-0000F4010000}"/>
    <cellStyle name="20% - Accent3 7 3" xfId="965" xr:uid="{00000000-0005-0000-0000-0000F5010000}"/>
    <cellStyle name="20% - Accent3 7_Cash flow" xfId="6383" xr:uid="{F1DD7888-6DDB-4983-99C6-4B1402A1415E}"/>
    <cellStyle name="20% - Accent3 8" xfId="966" xr:uid="{00000000-0005-0000-0000-0000F7010000}"/>
    <cellStyle name="20% - Accent3 9" xfId="967" xr:uid="{00000000-0005-0000-0000-0000F8010000}"/>
    <cellStyle name="20% - Accent4 10" xfId="968" xr:uid="{00000000-0005-0000-0000-0000F9010000}"/>
    <cellStyle name="20% - Accent4 11" xfId="969" xr:uid="{00000000-0005-0000-0000-0000FA010000}"/>
    <cellStyle name="20% - Accent4 12" xfId="970" xr:uid="{00000000-0005-0000-0000-0000FB010000}"/>
    <cellStyle name="20% - Accent4 13" xfId="971" xr:uid="{00000000-0005-0000-0000-0000FC010000}"/>
    <cellStyle name="20% - Accent4 14" xfId="6384" xr:uid="{1220096D-AF74-4307-83D0-F4082E1B46FA}"/>
    <cellStyle name="20% - Accent4 2" xfId="51" xr:uid="{00000000-0005-0000-0000-0000FD010000}"/>
    <cellStyle name="20% - Accent4 2 10" xfId="972" xr:uid="{00000000-0005-0000-0000-0000FE010000}"/>
    <cellStyle name="20% - Accent4 2 10 2" xfId="973" xr:uid="{00000000-0005-0000-0000-0000FF010000}"/>
    <cellStyle name="20% - Accent4 2 10 2 2" xfId="974" xr:uid="{00000000-0005-0000-0000-000000020000}"/>
    <cellStyle name="20% - Accent4 2 10 3" xfId="975" xr:uid="{00000000-0005-0000-0000-000001020000}"/>
    <cellStyle name="20% - Accent4 2 11" xfId="976" xr:uid="{00000000-0005-0000-0000-000002020000}"/>
    <cellStyle name="20% - Accent4 2 11 2" xfId="977" xr:uid="{00000000-0005-0000-0000-000003020000}"/>
    <cellStyle name="20% - Accent4 2 11 2 2" xfId="978" xr:uid="{00000000-0005-0000-0000-000004020000}"/>
    <cellStyle name="20% - Accent4 2 11 3" xfId="979" xr:uid="{00000000-0005-0000-0000-000005020000}"/>
    <cellStyle name="20% - Accent4 2 12" xfId="980" xr:uid="{00000000-0005-0000-0000-000006020000}"/>
    <cellStyle name="20% - Accent4 2 12 2" xfId="981" xr:uid="{00000000-0005-0000-0000-000007020000}"/>
    <cellStyle name="20% - Accent4 2 12 2 2" xfId="982" xr:uid="{00000000-0005-0000-0000-000008020000}"/>
    <cellStyle name="20% - Accent4 2 12 3" xfId="983" xr:uid="{00000000-0005-0000-0000-000009020000}"/>
    <cellStyle name="20% - Accent4 2 13" xfId="984" xr:uid="{00000000-0005-0000-0000-00000A020000}"/>
    <cellStyle name="20% - Accent4 2 13 2" xfId="985" xr:uid="{00000000-0005-0000-0000-00000B020000}"/>
    <cellStyle name="20% - Accent4 2 13 2 2" xfId="986" xr:uid="{00000000-0005-0000-0000-00000C020000}"/>
    <cellStyle name="20% - Accent4 2 13 3" xfId="987" xr:uid="{00000000-0005-0000-0000-00000D020000}"/>
    <cellStyle name="20% - Accent4 2 14" xfId="988" xr:uid="{00000000-0005-0000-0000-00000E020000}"/>
    <cellStyle name="20% - Accent4 2 15" xfId="989" xr:uid="{00000000-0005-0000-0000-00000F020000}"/>
    <cellStyle name="20% - Accent4 2 16" xfId="990" xr:uid="{00000000-0005-0000-0000-000010020000}"/>
    <cellStyle name="20% - Accent4 2 17" xfId="991" xr:uid="{00000000-0005-0000-0000-000011020000}"/>
    <cellStyle name="20% - Accent4 2 18" xfId="992" xr:uid="{00000000-0005-0000-0000-000012020000}"/>
    <cellStyle name="20% - Accent4 2 19" xfId="993" xr:uid="{00000000-0005-0000-0000-000013020000}"/>
    <cellStyle name="20% - Accent4 2 19 2" xfId="994" xr:uid="{00000000-0005-0000-0000-000014020000}"/>
    <cellStyle name="20% - Accent4 2 2" xfId="995" xr:uid="{00000000-0005-0000-0000-000015020000}"/>
    <cellStyle name="20% - Accent4 2 2 10" xfId="6386" xr:uid="{DD46F0A1-DA89-4998-BF93-9AE7E0B479E4}"/>
    <cellStyle name="20% - Accent4 2 2 11" xfId="6387" xr:uid="{96DA98DF-3754-412E-B923-638E1A737DBF}"/>
    <cellStyle name="20% - Accent4 2 2 12" xfId="6388" xr:uid="{7AACB009-B2FF-4513-94C0-4A6C0F2820D9}"/>
    <cellStyle name="20% - Accent4 2 2 13" xfId="6389" xr:uid="{3A392E4D-E4A9-4113-AEF3-6B7D5FF8373D}"/>
    <cellStyle name="20% - Accent4 2 2 14" xfId="6390" xr:uid="{CFA558EB-399E-45E1-B116-EDAC41B13812}"/>
    <cellStyle name="20% - Accent4 2 2 15" xfId="6391" xr:uid="{AA9FE9A1-F04D-4DB6-96A0-0D6CD5C0C5A7}"/>
    <cellStyle name="20% - Accent4 2 2 16" xfId="6392" xr:uid="{2BFDAA7A-E1D5-48F1-A3BD-8118EB887D80}"/>
    <cellStyle name="20% - Accent4 2 2 17" xfId="6393" xr:uid="{9B8E2075-D5D9-40D2-9917-5524A3CA8260}"/>
    <cellStyle name="20% - Accent4 2 2 18" xfId="6394" xr:uid="{573E251F-D61F-4E60-9BDF-166AE2344548}"/>
    <cellStyle name="20% - Accent4 2 2 19" xfId="6395" xr:uid="{993E04A4-90E7-410C-A846-96EFECD9C5CB}"/>
    <cellStyle name="20% - Accent4 2 2 2" xfId="996" xr:uid="{00000000-0005-0000-0000-000016020000}"/>
    <cellStyle name="20% - Accent4 2 2 20" xfId="6396" xr:uid="{8287BD62-5E9B-426B-9E26-69C88C360B6D}"/>
    <cellStyle name="20% - Accent4 2 2 21" xfId="6397" xr:uid="{D8866320-BC8A-430C-B20F-CCBBA8FF9A8A}"/>
    <cellStyle name="20% - Accent4 2 2 22" xfId="6398" xr:uid="{E2F17A1B-DDB7-4D7D-BD43-DADE99F2C976}"/>
    <cellStyle name="20% - Accent4 2 2 23" xfId="6399" xr:uid="{AA2C79E6-48D2-453B-8C92-1B74C199DA3A}"/>
    <cellStyle name="20% - Accent4 2 2 24" xfId="6400" xr:uid="{01076239-A306-4F76-B871-BE725EFCFF55}"/>
    <cellStyle name="20% - Accent4 2 2 25" xfId="6401" xr:uid="{80BD4E97-B186-454B-9FB9-636DF2A0FCF1}"/>
    <cellStyle name="20% - Accent4 2 2 26" xfId="6402" xr:uid="{3EBA8F84-CA82-48A2-9902-48EB9655243E}"/>
    <cellStyle name="20% - Accent4 2 2 3" xfId="997" xr:uid="{00000000-0005-0000-0000-000017020000}"/>
    <cellStyle name="20% - Accent4 2 2 4" xfId="998" xr:uid="{00000000-0005-0000-0000-000018020000}"/>
    <cellStyle name="20% - Accent4 2 2 5" xfId="999" xr:uid="{00000000-0005-0000-0000-000019020000}"/>
    <cellStyle name="20% - Accent4 2 2 6" xfId="1000" xr:uid="{00000000-0005-0000-0000-00001A020000}"/>
    <cellStyle name="20% - Accent4 2 2 7" xfId="1001" xr:uid="{00000000-0005-0000-0000-00001B020000}"/>
    <cellStyle name="20% - Accent4 2 2 8" xfId="1002" xr:uid="{00000000-0005-0000-0000-00001C020000}"/>
    <cellStyle name="20% - Accent4 2 2 8 2" xfId="1003" xr:uid="{00000000-0005-0000-0000-00001D020000}"/>
    <cellStyle name="20% - Accent4 2 2 8_Cash flow" xfId="6403" xr:uid="{F23D1963-1464-4A7D-BA3B-F30A02AD2240}"/>
    <cellStyle name="20% - Accent4 2 2 9" xfId="1004" xr:uid="{00000000-0005-0000-0000-00001E020000}"/>
    <cellStyle name="20% - Accent4 2 2_Cash flow" xfId="6385" xr:uid="{880DB738-1186-4D00-A4DA-4D5B7866C808}"/>
    <cellStyle name="20% - Accent4 2 3" xfId="1005" xr:uid="{00000000-0005-0000-0000-000020020000}"/>
    <cellStyle name="20% - Accent4 2 3 10" xfId="1006" xr:uid="{00000000-0005-0000-0000-000021020000}"/>
    <cellStyle name="20% - Accent4 2 3 11" xfId="1007" xr:uid="{00000000-0005-0000-0000-000022020000}"/>
    <cellStyle name="20% - Accent4 2 3 12" xfId="1008" xr:uid="{00000000-0005-0000-0000-000023020000}"/>
    <cellStyle name="20% - Accent4 2 3 13" xfId="1009" xr:uid="{00000000-0005-0000-0000-000024020000}"/>
    <cellStyle name="20% - Accent4 2 3 13 2" xfId="1010" xr:uid="{00000000-0005-0000-0000-000025020000}"/>
    <cellStyle name="20% - Accent4 2 3 14" xfId="1011" xr:uid="{00000000-0005-0000-0000-000026020000}"/>
    <cellStyle name="20% - Accent4 2 3 2" xfId="1012" xr:uid="{00000000-0005-0000-0000-000027020000}"/>
    <cellStyle name="20% - Accent4 2 3 3" xfId="1013" xr:uid="{00000000-0005-0000-0000-000028020000}"/>
    <cellStyle name="20% - Accent4 2 3 4" xfId="1014" xr:uid="{00000000-0005-0000-0000-000029020000}"/>
    <cellStyle name="20% - Accent4 2 3 5" xfId="1015" xr:uid="{00000000-0005-0000-0000-00002A020000}"/>
    <cellStyle name="20% - Accent4 2 3 6" xfId="1016" xr:uid="{00000000-0005-0000-0000-00002B020000}"/>
    <cellStyle name="20% - Accent4 2 3 7" xfId="1017" xr:uid="{00000000-0005-0000-0000-00002C020000}"/>
    <cellStyle name="20% - Accent4 2 3 8" xfId="1018" xr:uid="{00000000-0005-0000-0000-00002D020000}"/>
    <cellStyle name="20% - Accent4 2 3 9" xfId="1019" xr:uid="{00000000-0005-0000-0000-00002E020000}"/>
    <cellStyle name="20% - Accent4 2 3_Derivatives" xfId="1020" xr:uid="{00000000-0005-0000-0000-00002F020000}"/>
    <cellStyle name="20% - Accent4 2 4" xfId="1021" xr:uid="{00000000-0005-0000-0000-000030020000}"/>
    <cellStyle name="20% - Accent4 2 4 2" xfId="1022" xr:uid="{00000000-0005-0000-0000-000031020000}"/>
    <cellStyle name="20% - Accent4 2 4 2 2" xfId="1023" xr:uid="{00000000-0005-0000-0000-000032020000}"/>
    <cellStyle name="20% - Accent4 2 4 3" xfId="1024" xr:uid="{00000000-0005-0000-0000-000033020000}"/>
    <cellStyle name="20% - Accent4 2 4_EQU" xfId="1025" xr:uid="{00000000-0005-0000-0000-000034020000}"/>
    <cellStyle name="20% - Accent4 2 5" xfId="1026" xr:uid="{00000000-0005-0000-0000-000035020000}"/>
    <cellStyle name="20% - Accent4 2 5 2" xfId="1027" xr:uid="{00000000-0005-0000-0000-000036020000}"/>
    <cellStyle name="20% - Accent4 2 5 2 2" xfId="1028" xr:uid="{00000000-0005-0000-0000-000037020000}"/>
    <cellStyle name="20% - Accent4 2 5 3" xfId="1029" xr:uid="{00000000-0005-0000-0000-000038020000}"/>
    <cellStyle name="20% - Accent4 2 5_Derivatives" xfId="1030" xr:uid="{00000000-0005-0000-0000-000039020000}"/>
    <cellStyle name="20% - Accent4 2 6" xfId="1031" xr:uid="{00000000-0005-0000-0000-00003A020000}"/>
    <cellStyle name="20% - Accent4 2 6 2" xfId="1032" xr:uid="{00000000-0005-0000-0000-00003B020000}"/>
    <cellStyle name="20% - Accent4 2 6 2 2" xfId="1033" xr:uid="{00000000-0005-0000-0000-00003C020000}"/>
    <cellStyle name="20% - Accent4 2 6 3" xfId="1034" xr:uid="{00000000-0005-0000-0000-00003D020000}"/>
    <cellStyle name="20% - Accent4 2 6_Derivatives" xfId="1035" xr:uid="{00000000-0005-0000-0000-00003E020000}"/>
    <cellStyle name="20% - Accent4 2 7" xfId="1036" xr:uid="{00000000-0005-0000-0000-00003F020000}"/>
    <cellStyle name="20% - Accent4 2 7 2" xfId="1037" xr:uid="{00000000-0005-0000-0000-000040020000}"/>
    <cellStyle name="20% - Accent4 2 7 2 2" xfId="1038" xr:uid="{00000000-0005-0000-0000-000041020000}"/>
    <cellStyle name="20% - Accent4 2 7 3" xfId="1039" xr:uid="{00000000-0005-0000-0000-000042020000}"/>
    <cellStyle name="20% - Accent4 2 7_Derivatives" xfId="1040" xr:uid="{00000000-0005-0000-0000-000043020000}"/>
    <cellStyle name="20% - Accent4 2 8" xfId="1041" xr:uid="{00000000-0005-0000-0000-000044020000}"/>
    <cellStyle name="20% - Accent4 2 8 2" xfId="1042" xr:uid="{00000000-0005-0000-0000-000045020000}"/>
    <cellStyle name="20% - Accent4 2 8 2 2" xfId="1043" xr:uid="{00000000-0005-0000-0000-000046020000}"/>
    <cellStyle name="20% - Accent4 2 8 3" xfId="1044" xr:uid="{00000000-0005-0000-0000-000047020000}"/>
    <cellStyle name="20% - Accent4 2 8_Derivatives" xfId="1045" xr:uid="{00000000-0005-0000-0000-000048020000}"/>
    <cellStyle name="20% - Accent4 2 9" xfId="1046" xr:uid="{00000000-0005-0000-0000-000049020000}"/>
    <cellStyle name="20% - Accent4 2 9 2" xfId="1047" xr:uid="{00000000-0005-0000-0000-00004A020000}"/>
    <cellStyle name="20% - Accent4 2 9 2 2" xfId="1048" xr:uid="{00000000-0005-0000-0000-00004B020000}"/>
    <cellStyle name="20% - Accent4 2 9 3" xfId="1049" xr:uid="{00000000-0005-0000-0000-00004C020000}"/>
    <cellStyle name="20% - Accent4 2_5130_new" xfId="1050" xr:uid="{00000000-0005-0000-0000-00004D020000}"/>
    <cellStyle name="20% - Accent4 3" xfId="52" xr:uid="{00000000-0005-0000-0000-00004E020000}"/>
    <cellStyle name="20% - Accent4 3 10" xfId="1051" xr:uid="{00000000-0005-0000-0000-00004F020000}"/>
    <cellStyle name="20% - Accent4 3 11" xfId="6404" xr:uid="{24EAE7A9-7EF1-422E-BBD8-7822BB2C817E}"/>
    <cellStyle name="20% - Accent4 3 12" xfId="6405" xr:uid="{6BFA8412-695D-4A0E-AC94-88DA71256140}"/>
    <cellStyle name="20% - Accent4 3 13" xfId="6406" xr:uid="{5082C420-AF20-433A-BCA8-3D4400FCE302}"/>
    <cellStyle name="20% - Accent4 3 14" xfId="6407" xr:uid="{6BE7C0FF-9246-4803-969A-A19A1A360C8E}"/>
    <cellStyle name="20% - Accent4 3 15" xfId="6408" xr:uid="{FFEB4B17-9654-4790-B10D-C1DFB9EA1E80}"/>
    <cellStyle name="20% - Accent4 3 16" xfId="6409" xr:uid="{BEF0CF89-188B-4DE8-B269-C8FABEAD494A}"/>
    <cellStyle name="20% - Accent4 3 17" xfId="6410" xr:uid="{DAEBCBF9-22CB-4870-8DEF-CFEC7467BBA9}"/>
    <cellStyle name="20% - Accent4 3 18" xfId="6411" xr:uid="{861E92B9-972F-4572-B090-A550F4E4C943}"/>
    <cellStyle name="20% - Accent4 3 19" xfId="6412" xr:uid="{1B01C45F-5E9F-498E-ACF1-86F28D07E1AD}"/>
    <cellStyle name="20% - Accent4 3 2" xfId="1052" xr:uid="{00000000-0005-0000-0000-000050020000}"/>
    <cellStyle name="20% - Accent4 3 2 2" xfId="1053" xr:uid="{00000000-0005-0000-0000-000051020000}"/>
    <cellStyle name="20% - Accent4 3 2 2 2" xfId="1054" xr:uid="{00000000-0005-0000-0000-000052020000}"/>
    <cellStyle name="20% - Accent4 3 2 3" xfId="1055" xr:uid="{00000000-0005-0000-0000-000053020000}"/>
    <cellStyle name="20% - Accent4 3 2_Cash flow" xfId="6413" xr:uid="{4E3692D2-9965-4450-875B-A8FB1425C663}"/>
    <cellStyle name="20% - Accent4 3 20" xfId="6414" xr:uid="{F38F42CC-3876-4E77-90CE-619E7A04731A}"/>
    <cellStyle name="20% - Accent4 3 21" xfId="6415" xr:uid="{F76E138F-79A0-47A9-A47B-AB54D1E117A9}"/>
    <cellStyle name="20% - Accent4 3 22" xfId="6416" xr:uid="{92502EB8-4AC5-45E7-8CB9-FF9DDF7FCE32}"/>
    <cellStyle name="20% - Accent4 3 23" xfId="6417" xr:uid="{30B032DC-99F7-4487-81A6-45CAE8D57817}"/>
    <cellStyle name="20% - Accent4 3 24" xfId="6418" xr:uid="{95109CB5-1794-4708-A359-0613E9F7F235}"/>
    <cellStyle name="20% - Accent4 3 25" xfId="6419" xr:uid="{2AD430F7-E3D9-4078-A50D-F181B5A8097D}"/>
    <cellStyle name="20% - Accent4 3 26" xfId="6420" xr:uid="{508A0D0C-F9CD-4CBE-9502-42FCED7CBB42}"/>
    <cellStyle name="20% - Accent4 3 3" xfId="1056" xr:uid="{00000000-0005-0000-0000-000055020000}"/>
    <cellStyle name="20% - Accent4 3 4" xfId="1057" xr:uid="{00000000-0005-0000-0000-000056020000}"/>
    <cellStyle name="20% - Accent4 3 5" xfId="1058" xr:uid="{00000000-0005-0000-0000-000057020000}"/>
    <cellStyle name="20% - Accent4 3 6" xfId="1059" xr:uid="{00000000-0005-0000-0000-000058020000}"/>
    <cellStyle name="20% - Accent4 3 7" xfId="1060" xr:uid="{00000000-0005-0000-0000-000059020000}"/>
    <cellStyle name="20% - Accent4 3 8" xfId="1061" xr:uid="{00000000-0005-0000-0000-00005A020000}"/>
    <cellStyle name="20% - Accent4 3 9" xfId="1062" xr:uid="{00000000-0005-0000-0000-00005B020000}"/>
    <cellStyle name="20% - Accent4 3 9 2" xfId="1063" xr:uid="{00000000-0005-0000-0000-00005C020000}"/>
    <cellStyle name="20% - Accent4 3 9_Cash flow" xfId="6421" xr:uid="{B11166D5-BF69-4A1D-B297-7D8285A1E7C7}"/>
    <cellStyle name="20% - Accent4 3_Australia Results" xfId="6422" xr:uid="{B7AC5B7A-4BEB-4437-868E-E2B54AF9F2E4}"/>
    <cellStyle name="20% - Accent4 4" xfId="53" xr:uid="{00000000-0005-0000-0000-00005E020000}"/>
    <cellStyle name="20% - Accent4 4 10" xfId="1064" xr:uid="{00000000-0005-0000-0000-00005F020000}"/>
    <cellStyle name="20% - Accent4 4 2" xfId="1065" xr:uid="{00000000-0005-0000-0000-000060020000}"/>
    <cellStyle name="20% - Accent4 4 2 2" xfId="1066" xr:uid="{00000000-0005-0000-0000-000061020000}"/>
    <cellStyle name="20% - Accent4 4 2 2 2" xfId="1067" xr:uid="{00000000-0005-0000-0000-000062020000}"/>
    <cellStyle name="20% - Accent4 4 2 3" xfId="1068" xr:uid="{00000000-0005-0000-0000-000063020000}"/>
    <cellStyle name="20% - Accent4 4 2_EQU" xfId="1069" xr:uid="{00000000-0005-0000-0000-000064020000}"/>
    <cellStyle name="20% - Accent4 4 3" xfId="1070" xr:uid="{00000000-0005-0000-0000-000065020000}"/>
    <cellStyle name="20% - Accent4 4 4" xfId="1071" xr:uid="{00000000-0005-0000-0000-000066020000}"/>
    <cellStyle name="20% - Accent4 4 5" xfId="1072" xr:uid="{00000000-0005-0000-0000-000067020000}"/>
    <cellStyle name="20% - Accent4 4 6" xfId="1073" xr:uid="{00000000-0005-0000-0000-000068020000}"/>
    <cellStyle name="20% - Accent4 4 7" xfId="1074" xr:uid="{00000000-0005-0000-0000-000069020000}"/>
    <cellStyle name="20% - Accent4 4 8" xfId="1075" xr:uid="{00000000-0005-0000-0000-00006A020000}"/>
    <cellStyle name="20% - Accent4 4 9" xfId="1076" xr:uid="{00000000-0005-0000-0000-00006B020000}"/>
    <cellStyle name="20% - Accent4 4 9 2" xfId="1077" xr:uid="{00000000-0005-0000-0000-00006C020000}"/>
    <cellStyle name="20% - Accent4 4_Australia Results" xfId="6423" xr:uid="{E81677D1-07CC-4CA3-9DA0-F9B32E1F5CEB}"/>
    <cellStyle name="20% - Accent4 5" xfId="54" xr:uid="{00000000-0005-0000-0000-00006E020000}"/>
    <cellStyle name="20% - Accent4 5 2" xfId="1078" xr:uid="{00000000-0005-0000-0000-00006F020000}"/>
    <cellStyle name="20% - Accent4 5 2 2" xfId="1079" xr:uid="{00000000-0005-0000-0000-000070020000}"/>
    <cellStyle name="20% - Accent4 5 2 2 2" xfId="1080" xr:uid="{00000000-0005-0000-0000-000071020000}"/>
    <cellStyle name="20% - Accent4 5 2 3" xfId="1081" xr:uid="{00000000-0005-0000-0000-000072020000}"/>
    <cellStyle name="20% - Accent4 5 2_Cash flow" xfId="6425" xr:uid="{FCE9ABE2-15B4-49A3-9035-AD26B0C293F4}"/>
    <cellStyle name="20% - Accent4 5 3" xfId="1082" xr:uid="{00000000-0005-0000-0000-000073020000}"/>
    <cellStyle name="20% - Accent4 5 3 2" xfId="1083" xr:uid="{00000000-0005-0000-0000-000074020000}"/>
    <cellStyle name="20% - Accent4 5 4" xfId="1084" xr:uid="{00000000-0005-0000-0000-000075020000}"/>
    <cellStyle name="20% - Accent4 5_Cash flow" xfId="6424" xr:uid="{02943B82-D011-4CE2-A402-8B3643D3FD88}"/>
    <cellStyle name="20% - Accent4 6" xfId="1085" xr:uid="{00000000-0005-0000-0000-000077020000}"/>
    <cellStyle name="20% - Accent4 6 2" xfId="1086" xr:uid="{00000000-0005-0000-0000-000078020000}"/>
    <cellStyle name="20% - Accent4 6 2 2" xfId="1087" xr:uid="{00000000-0005-0000-0000-000079020000}"/>
    <cellStyle name="20% - Accent4 6 2 2 2" xfId="1088" xr:uid="{00000000-0005-0000-0000-00007A020000}"/>
    <cellStyle name="20% - Accent4 6 2 3" xfId="1089" xr:uid="{00000000-0005-0000-0000-00007B020000}"/>
    <cellStyle name="20% - Accent4 6 2_Cash flow" xfId="6427" xr:uid="{95C98D5F-AB4A-4542-9593-4014DAFC1DCF}"/>
    <cellStyle name="20% - Accent4 6 3" xfId="1090" xr:uid="{00000000-0005-0000-0000-00007C020000}"/>
    <cellStyle name="20% - Accent4 6 3 2" xfId="1091" xr:uid="{00000000-0005-0000-0000-00007D020000}"/>
    <cellStyle name="20% - Accent4 6 4" xfId="1092" xr:uid="{00000000-0005-0000-0000-00007E020000}"/>
    <cellStyle name="20% - Accent4 6_Cash flow" xfId="6426" xr:uid="{00A8D2EC-3E61-4F4F-93F5-57194E3F1305}"/>
    <cellStyle name="20% - Accent4 7" xfId="1093" xr:uid="{00000000-0005-0000-0000-000080020000}"/>
    <cellStyle name="20% - Accent4 7 2" xfId="1094" xr:uid="{00000000-0005-0000-0000-000081020000}"/>
    <cellStyle name="20% - Accent4 7 2 2" xfId="1095" xr:uid="{00000000-0005-0000-0000-000082020000}"/>
    <cellStyle name="20% - Accent4 7 3" xfId="1096" xr:uid="{00000000-0005-0000-0000-000083020000}"/>
    <cellStyle name="20% - Accent4 7_Cash flow" xfId="6428" xr:uid="{9506D37C-8C90-444B-AA9A-0BFA9616C725}"/>
    <cellStyle name="20% - Accent4 8" xfId="1097" xr:uid="{00000000-0005-0000-0000-000085020000}"/>
    <cellStyle name="20% - Accent4 9" xfId="1098" xr:uid="{00000000-0005-0000-0000-000086020000}"/>
    <cellStyle name="20% - Accent5 10" xfId="1099" xr:uid="{00000000-0005-0000-0000-000087020000}"/>
    <cellStyle name="20% - Accent5 11" xfId="1100" xr:uid="{00000000-0005-0000-0000-000088020000}"/>
    <cellStyle name="20% - Accent5 12" xfId="1101" xr:uid="{00000000-0005-0000-0000-000089020000}"/>
    <cellStyle name="20% - Accent5 13" xfId="1102" xr:uid="{00000000-0005-0000-0000-00008A020000}"/>
    <cellStyle name="20% - Accent5 14" xfId="6429" xr:uid="{2F28FCBC-BC9A-41DE-876A-6F514542C25E}"/>
    <cellStyle name="20% - Accent5 2" xfId="55" xr:uid="{00000000-0005-0000-0000-00008B020000}"/>
    <cellStyle name="20% - Accent5 2 10" xfId="1103" xr:uid="{00000000-0005-0000-0000-00008C020000}"/>
    <cellStyle name="20% - Accent5 2 11" xfId="1104" xr:uid="{00000000-0005-0000-0000-00008D020000}"/>
    <cellStyle name="20% - Accent5 2 12" xfId="1105" xr:uid="{00000000-0005-0000-0000-00008E020000}"/>
    <cellStyle name="20% - Accent5 2 13" xfId="1106" xr:uid="{00000000-0005-0000-0000-00008F020000}"/>
    <cellStyle name="20% - Accent5 2 14" xfId="1107" xr:uid="{00000000-0005-0000-0000-000090020000}"/>
    <cellStyle name="20% - Accent5 2 15" xfId="1108" xr:uid="{00000000-0005-0000-0000-000091020000}"/>
    <cellStyle name="20% - Accent5 2 16" xfId="1109" xr:uid="{00000000-0005-0000-0000-000092020000}"/>
    <cellStyle name="20% - Accent5 2 17" xfId="1110" xr:uid="{00000000-0005-0000-0000-000093020000}"/>
    <cellStyle name="20% - Accent5 2 18" xfId="1111" xr:uid="{00000000-0005-0000-0000-000094020000}"/>
    <cellStyle name="20% - Accent5 2 2" xfId="1112" xr:uid="{00000000-0005-0000-0000-000095020000}"/>
    <cellStyle name="20% - Accent5 2 2 10" xfId="6430" xr:uid="{A93ADB4B-A32F-4C9B-AC9E-0579A006FA91}"/>
    <cellStyle name="20% - Accent5 2 2 11" xfId="6431" xr:uid="{D536E084-AC01-4C8B-9A46-CB3209CF29F7}"/>
    <cellStyle name="20% - Accent5 2 2 12" xfId="6432" xr:uid="{0D508CB2-320B-4C33-BAB2-B3271556B1A6}"/>
    <cellStyle name="20% - Accent5 2 2 13" xfId="6433" xr:uid="{F21E221E-CD48-4CE5-A4CE-5C6DCFB6BF63}"/>
    <cellStyle name="20% - Accent5 2 2 14" xfId="6434" xr:uid="{0838D52E-F386-4EE7-9883-DF70AA276795}"/>
    <cellStyle name="20% - Accent5 2 2 15" xfId="6435" xr:uid="{ECCAC5D4-CF29-4408-8C9B-952AB8B183C6}"/>
    <cellStyle name="20% - Accent5 2 2 16" xfId="6436" xr:uid="{971790AD-5DCD-4F20-B25E-F80252B98035}"/>
    <cellStyle name="20% - Accent5 2 2 17" xfId="6437" xr:uid="{F3795145-DAFD-42C6-86FB-160D3557C363}"/>
    <cellStyle name="20% - Accent5 2 2 18" xfId="6438" xr:uid="{09A866CF-2612-4A6D-8ABE-D24636BC61FA}"/>
    <cellStyle name="20% - Accent5 2 2 19" xfId="6439" xr:uid="{2E997B1D-A771-422D-A076-7F73D0CE5C70}"/>
    <cellStyle name="20% - Accent5 2 2 2" xfId="1113" xr:uid="{00000000-0005-0000-0000-000096020000}"/>
    <cellStyle name="20% - Accent5 2 2 20" xfId="6440" xr:uid="{8E2ABF81-A9B4-4BC6-99F6-54F68DFAEC18}"/>
    <cellStyle name="20% - Accent5 2 2 21" xfId="6441" xr:uid="{EECF7512-8DF0-4950-86F2-022F132E66AD}"/>
    <cellStyle name="20% - Accent5 2 2 22" xfId="6442" xr:uid="{6B46EFF3-CDD4-44D0-A7EF-7424D95C8398}"/>
    <cellStyle name="20% - Accent5 2 2 23" xfId="6443" xr:uid="{4329A6BC-FCEE-4C49-94E7-279481DD4DE2}"/>
    <cellStyle name="20% - Accent5 2 2 24" xfId="6444" xr:uid="{A6227ED7-BC35-40D4-877E-2560CCDD5584}"/>
    <cellStyle name="20% - Accent5 2 2 25" xfId="6445" xr:uid="{459ECD2A-AEDC-451B-BAF3-CF08C9764965}"/>
    <cellStyle name="20% - Accent5 2 2 26" xfId="6446" xr:uid="{F7CE182C-8FE5-4B5B-AD35-817B43B3F54B}"/>
    <cellStyle name="20% - Accent5 2 2 3" xfId="1114" xr:uid="{00000000-0005-0000-0000-000097020000}"/>
    <cellStyle name="20% - Accent5 2 2 4" xfId="1115" xr:uid="{00000000-0005-0000-0000-000098020000}"/>
    <cellStyle name="20% - Accent5 2 2 5" xfId="1116" xr:uid="{00000000-0005-0000-0000-000099020000}"/>
    <cellStyle name="20% - Accent5 2 2 6" xfId="1117" xr:uid="{00000000-0005-0000-0000-00009A020000}"/>
    <cellStyle name="20% - Accent5 2 2 7" xfId="1118" xr:uid="{00000000-0005-0000-0000-00009B020000}"/>
    <cellStyle name="20% - Accent5 2 2 8" xfId="1119" xr:uid="{00000000-0005-0000-0000-00009C020000}"/>
    <cellStyle name="20% - Accent5 2 2 9" xfId="6447" xr:uid="{847B437E-1C3E-4243-978F-AA57C298C4D9}"/>
    <cellStyle name="20% - Accent5 2 2_EQU" xfId="1120" xr:uid="{00000000-0005-0000-0000-00009D020000}"/>
    <cellStyle name="20% - Accent5 2 3" xfId="1121" xr:uid="{00000000-0005-0000-0000-00009E020000}"/>
    <cellStyle name="20% - Accent5 2 3 10" xfId="1122" xr:uid="{00000000-0005-0000-0000-00009F020000}"/>
    <cellStyle name="20% - Accent5 2 3 11" xfId="1123" xr:uid="{00000000-0005-0000-0000-0000A0020000}"/>
    <cellStyle name="20% - Accent5 2 3 12" xfId="1124" xr:uid="{00000000-0005-0000-0000-0000A1020000}"/>
    <cellStyle name="20% - Accent5 2 3 2" xfId="1125" xr:uid="{00000000-0005-0000-0000-0000A2020000}"/>
    <cellStyle name="20% - Accent5 2 3 3" xfId="1126" xr:uid="{00000000-0005-0000-0000-0000A3020000}"/>
    <cellStyle name="20% - Accent5 2 3 4" xfId="1127" xr:uid="{00000000-0005-0000-0000-0000A4020000}"/>
    <cellStyle name="20% - Accent5 2 3 5" xfId="1128" xr:uid="{00000000-0005-0000-0000-0000A5020000}"/>
    <cellStyle name="20% - Accent5 2 3 6" xfId="1129" xr:uid="{00000000-0005-0000-0000-0000A6020000}"/>
    <cellStyle name="20% - Accent5 2 3 7" xfId="1130" xr:uid="{00000000-0005-0000-0000-0000A7020000}"/>
    <cellStyle name="20% - Accent5 2 3 8" xfId="1131" xr:uid="{00000000-0005-0000-0000-0000A8020000}"/>
    <cellStyle name="20% - Accent5 2 3 9" xfId="1132" xr:uid="{00000000-0005-0000-0000-0000A9020000}"/>
    <cellStyle name="20% - Accent5 2 3_Derivatives" xfId="1133" xr:uid="{00000000-0005-0000-0000-0000AA020000}"/>
    <cellStyle name="20% - Accent5 2 4" xfId="1134" xr:uid="{00000000-0005-0000-0000-0000AB020000}"/>
    <cellStyle name="20% - Accent5 2 5" xfId="1135" xr:uid="{00000000-0005-0000-0000-0000AC020000}"/>
    <cellStyle name="20% - Accent5 2 6" xfId="1136" xr:uid="{00000000-0005-0000-0000-0000AD020000}"/>
    <cellStyle name="20% - Accent5 2 7" xfId="1137" xr:uid="{00000000-0005-0000-0000-0000AE020000}"/>
    <cellStyle name="20% - Accent5 2 8" xfId="1138" xr:uid="{00000000-0005-0000-0000-0000AF020000}"/>
    <cellStyle name="20% - Accent5 2 9" xfId="1139" xr:uid="{00000000-0005-0000-0000-0000B0020000}"/>
    <cellStyle name="20% - Accent5 2_5130_new" xfId="1140" xr:uid="{00000000-0005-0000-0000-0000B1020000}"/>
    <cellStyle name="20% - Accent5 3" xfId="56" xr:uid="{00000000-0005-0000-0000-0000B2020000}"/>
    <cellStyle name="20% - Accent5 3 10" xfId="6448" xr:uid="{12FDA3CD-C0B3-40BD-9849-F4A690B6C33A}"/>
    <cellStyle name="20% - Accent5 3 11" xfId="6449" xr:uid="{0424ABFA-9D4A-4270-8FE1-8DDA4EFF9EE0}"/>
    <cellStyle name="20% - Accent5 3 12" xfId="6450" xr:uid="{55DB7C31-699A-484D-8B96-088815E01AD9}"/>
    <cellStyle name="20% - Accent5 3 13" xfId="6451" xr:uid="{43803B35-1FFD-4744-A74B-3FD917384F9E}"/>
    <cellStyle name="20% - Accent5 3 14" xfId="6452" xr:uid="{6A1C7CE8-FB81-4BD2-A11F-9DEB061B8210}"/>
    <cellStyle name="20% - Accent5 3 15" xfId="6453" xr:uid="{D81F1697-E808-41BC-B2AF-89689F9B48DA}"/>
    <cellStyle name="20% - Accent5 3 16" xfId="6454" xr:uid="{94222025-51CA-4F6E-AD85-8ED922DF5F10}"/>
    <cellStyle name="20% - Accent5 3 17" xfId="6455" xr:uid="{08C74121-2887-4220-B78D-63E985485C9B}"/>
    <cellStyle name="20% - Accent5 3 18" xfId="6456" xr:uid="{225A00DD-80A5-4F7D-83C6-170C18C88497}"/>
    <cellStyle name="20% - Accent5 3 19" xfId="6457" xr:uid="{5D184E11-91CA-42D7-9FD2-C3DBC603BABC}"/>
    <cellStyle name="20% - Accent5 3 2" xfId="1141" xr:uid="{00000000-0005-0000-0000-0000B3020000}"/>
    <cellStyle name="20% - Accent5 3 20" xfId="6458" xr:uid="{81E534A8-739C-4F52-9955-A21AB8CBA4C4}"/>
    <cellStyle name="20% - Accent5 3 21" xfId="6459" xr:uid="{9A3051E1-A0DD-466B-B7A3-D731D5B409A4}"/>
    <cellStyle name="20% - Accent5 3 22" xfId="6460" xr:uid="{3AC73C08-2D0C-4D75-81C3-2EC626D56049}"/>
    <cellStyle name="20% - Accent5 3 23" xfId="6461" xr:uid="{46986FCF-465C-489F-AB3E-4D66265ECD62}"/>
    <cellStyle name="20% - Accent5 3 24" xfId="6462" xr:uid="{C7DD32A3-01AB-4434-905E-450B42BC765B}"/>
    <cellStyle name="20% - Accent5 3 25" xfId="6463" xr:uid="{E7A2F4E2-753C-46DF-A09C-F479DFDE54B4}"/>
    <cellStyle name="20% - Accent5 3 26" xfId="6464" xr:uid="{E0577F7B-5664-4C8E-9EE2-6751CAA46842}"/>
    <cellStyle name="20% - Accent5 3 3" xfId="1142" xr:uid="{00000000-0005-0000-0000-0000B4020000}"/>
    <cellStyle name="20% - Accent5 3 4" xfId="1143" xr:uid="{00000000-0005-0000-0000-0000B5020000}"/>
    <cellStyle name="20% - Accent5 3 5" xfId="1144" xr:uid="{00000000-0005-0000-0000-0000B6020000}"/>
    <cellStyle name="20% - Accent5 3 6" xfId="1145" xr:uid="{00000000-0005-0000-0000-0000B7020000}"/>
    <cellStyle name="20% - Accent5 3 7" xfId="1146" xr:uid="{00000000-0005-0000-0000-0000B8020000}"/>
    <cellStyle name="20% - Accent5 3 8" xfId="1147" xr:uid="{00000000-0005-0000-0000-0000B9020000}"/>
    <cellStyle name="20% - Accent5 3 9" xfId="1148" xr:uid="{00000000-0005-0000-0000-0000BA020000}"/>
    <cellStyle name="20% - Accent5 3_Australia Results" xfId="6465" xr:uid="{F8D726B2-4A8E-4A4F-8D75-FCC296090A34}"/>
    <cellStyle name="20% - Accent5 4" xfId="57" xr:uid="{00000000-0005-0000-0000-0000BC020000}"/>
    <cellStyle name="20% - Accent5 4 2" xfId="1149" xr:uid="{00000000-0005-0000-0000-0000BD020000}"/>
    <cellStyle name="20% - Accent5 4 3" xfId="1150" xr:uid="{00000000-0005-0000-0000-0000BE020000}"/>
    <cellStyle name="20% - Accent5 4 4" xfId="1151" xr:uid="{00000000-0005-0000-0000-0000BF020000}"/>
    <cellStyle name="20% - Accent5 4 5" xfId="1152" xr:uid="{00000000-0005-0000-0000-0000C0020000}"/>
    <cellStyle name="20% - Accent5 4 6" xfId="1153" xr:uid="{00000000-0005-0000-0000-0000C1020000}"/>
    <cellStyle name="20% - Accent5 4 7" xfId="1154" xr:uid="{00000000-0005-0000-0000-0000C2020000}"/>
    <cellStyle name="20% - Accent5 4 8" xfId="1155" xr:uid="{00000000-0005-0000-0000-0000C3020000}"/>
    <cellStyle name="20% - Accent5 4 9" xfId="1156" xr:uid="{00000000-0005-0000-0000-0000C4020000}"/>
    <cellStyle name="20% - Accent5 4_Australia Results" xfId="6466" xr:uid="{1B6EADF8-C7E7-499E-AE61-C93E1B8F38EA}"/>
    <cellStyle name="20% - Accent5 5" xfId="58" xr:uid="{00000000-0005-0000-0000-0000C6020000}"/>
    <cellStyle name="20% - Accent5 5 2" xfId="1157" xr:uid="{00000000-0005-0000-0000-0000C7020000}"/>
    <cellStyle name="20% - Accent5 5_Cash flow" xfId="6467" xr:uid="{49152837-8DB2-488E-BCFD-C3A4E0F2CBC6}"/>
    <cellStyle name="20% - Accent5 6" xfId="1158" xr:uid="{00000000-0005-0000-0000-0000C9020000}"/>
    <cellStyle name="20% - Accent5 6 2" xfId="1159" xr:uid="{00000000-0005-0000-0000-0000CA020000}"/>
    <cellStyle name="20% - Accent5 6_Cash flow" xfId="6468" xr:uid="{AA3EF921-5B2C-458C-9028-5F5FCF6B163B}"/>
    <cellStyle name="20% - Accent5 7" xfId="1160" xr:uid="{00000000-0005-0000-0000-0000CC020000}"/>
    <cellStyle name="20% - Accent5 8" xfId="1161" xr:uid="{00000000-0005-0000-0000-0000CD020000}"/>
    <cellStyle name="20% - Accent5 9" xfId="1162" xr:uid="{00000000-0005-0000-0000-0000CE020000}"/>
    <cellStyle name="20% - Accent6 10" xfId="1163" xr:uid="{00000000-0005-0000-0000-0000CF020000}"/>
    <cellStyle name="20% - Accent6 11" xfId="1164" xr:uid="{00000000-0005-0000-0000-0000D0020000}"/>
    <cellStyle name="20% - Accent6 12" xfId="1165" xr:uid="{00000000-0005-0000-0000-0000D1020000}"/>
    <cellStyle name="20% - Accent6 13" xfId="1166" xr:uid="{00000000-0005-0000-0000-0000D2020000}"/>
    <cellStyle name="20% - Accent6 14" xfId="6469" xr:uid="{3C378163-A97D-4084-84E8-7B3FB1911486}"/>
    <cellStyle name="20% - Accent6 2" xfId="59" xr:uid="{00000000-0005-0000-0000-0000D3020000}"/>
    <cellStyle name="20% - Accent6 2 10" xfId="1167" xr:uid="{00000000-0005-0000-0000-0000D4020000}"/>
    <cellStyle name="20% - Accent6 2 11" xfId="1168" xr:uid="{00000000-0005-0000-0000-0000D5020000}"/>
    <cellStyle name="20% - Accent6 2 12" xfId="1169" xr:uid="{00000000-0005-0000-0000-0000D6020000}"/>
    <cellStyle name="20% - Accent6 2 13" xfId="1170" xr:uid="{00000000-0005-0000-0000-0000D7020000}"/>
    <cellStyle name="20% - Accent6 2 14" xfId="1171" xr:uid="{00000000-0005-0000-0000-0000D8020000}"/>
    <cellStyle name="20% - Accent6 2 15" xfId="1172" xr:uid="{00000000-0005-0000-0000-0000D9020000}"/>
    <cellStyle name="20% - Accent6 2 16" xfId="1173" xr:uid="{00000000-0005-0000-0000-0000DA020000}"/>
    <cellStyle name="20% - Accent6 2 17" xfId="1174" xr:uid="{00000000-0005-0000-0000-0000DB020000}"/>
    <cellStyle name="20% - Accent6 2 18" xfId="1175" xr:uid="{00000000-0005-0000-0000-0000DC020000}"/>
    <cellStyle name="20% - Accent6 2 2" xfId="1176" xr:uid="{00000000-0005-0000-0000-0000DD020000}"/>
    <cellStyle name="20% - Accent6 2 2 10" xfId="6470" xr:uid="{BC35527A-5EA4-4B70-B988-00737BC32DEC}"/>
    <cellStyle name="20% - Accent6 2 2 11" xfId="6471" xr:uid="{ABE43D4C-BD24-4ED4-BB4D-50901B0588DF}"/>
    <cellStyle name="20% - Accent6 2 2 12" xfId="6472" xr:uid="{7586F4DB-68D7-4365-BEE8-275E3805B318}"/>
    <cellStyle name="20% - Accent6 2 2 13" xfId="6473" xr:uid="{DC9B4E52-CC49-41F1-B14B-6001A6FAAD24}"/>
    <cellStyle name="20% - Accent6 2 2 14" xfId="6474" xr:uid="{7F34D8A2-F37E-4F0D-AA14-E6F0D65544C4}"/>
    <cellStyle name="20% - Accent6 2 2 15" xfId="6475" xr:uid="{53BA3E72-A455-4A41-986B-8A2977A78F59}"/>
    <cellStyle name="20% - Accent6 2 2 16" xfId="6476" xr:uid="{AAE72AAB-2DBF-44FD-A124-9BA10A3C59C3}"/>
    <cellStyle name="20% - Accent6 2 2 17" xfId="6477" xr:uid="{A8890B21-EE47-4CB9-AD07-3194F2C8F119}"/>
    <cellStyle name="20% - Accent6 2 2 18" xfId="6478" xr:uid="{3E018B62-6B1A-4843-976F-495F0EC6A374}"/>
    <cellStyle name="20% - Accent6 2 2 19" xfId="6479" xr:uid="{8AF148AD-083E-46AC-B299-493D06B754C9}"/>
    <cellStyle name="20% - Accent6 2 2 2" xfId="1177" xr:uid="{00000000-0005-0000-0000-0000DE020000}"/>
    <cellStyle name="20% - Accent6 2 2 20" xfId="6480" xr:uid="{A80CB8FF-9B17-46CC-A4B4-74532677D528}"/>
    <cellStyle name="20% - Accent6 2 2 21" xfId="6481" xr:uid="{BE63B333-5683-4B76-865C-10C841FCEF15}"/>
    <cellStyle name="20% - Accent6 2 2 22" xfId="6482" xr:uid="{DE3A7502-E94A-4181-8389-C18445B916E1}"/>
    <cellStyle name="20% - Accent6 2 2 23" xfId="6483" xr:uid="{ACE4D7E0-5356-41A3-B611-F8BF364A9701}"/>
    <cellStyle name="20% - Accent6 2 2 24" xfId="6484" xr:uid="{6B62183F-D336-4B9E-8FAD-935A277EEDFC}"/>
    <cellStyle name="20% - Accent6 2 2 25" xfId="6485" xr:uid="{3698CD3F-E945-4E3E-8889-4B85943FBBE1}"/>
    <cellStyle name="20% - Accent6 2 2 26" xfId="6486" xr:uid="{DBBBCFE9-4D40-4125-BDCB-09F609F2B806}"/>
    <cellStyle name="20% - Accent6 2 2 3" xfId="1178" xr:uid="{00000000-0005-0000-0000-0000DF020000}"/>
    <cellStyle name="20% - Accent6 2 2 4" xfId="1179" xr:uid="{00000000-0005-0000-0000-0000E0020000}"/>
    <cellStyle name="20% - Accent6 2 2 5" xfId="1180" xr:uid="{00000000-0005-0000-0000-0000E1020000}"/>
    <cellStyle name="20% - Accent6 2 2 6" xfId="1181" xr:uid="{00000000-0005-0000-0000-0000E2020000}"/>
    <cellStyle name="20% - Accent6 2 2 7" xfId="1182" xr:uid="{00000000-0005-0000-0000-0000E3020000}"/>
    <cellStyle name="20% - Accent6 2 2 8" xfId="1183" xr:uid="{00000000-0005-0000-0000-0000E4020000}"/>
    <cellStyle name="20% - Accent6 2 2 9" xfId="6487" xr:uid="{FAA5E11D-A8F7-4603-B2D7-DC910024715A}"/>
    <cellStyle name="20% - Accent6 2 2_EQU" xfId="1184" xr:uid="{00000000-0005-0000-0000-0000E5020000}"/>
    <cellStyle name="20% - Accent6 2 3" xfId="1185" xr:uid="{00000000-0005-0000-0000-0000E6020000}"/>
    <cellStyle name="20% - Accent6 2 3 10" xfId="1186" xr:uid="{00000000-0005-0000-0000-0000E7020000}"/>
    <cellStyle name="20% - Accent6 2 3 11" xfId="1187" xr:uid="{00000000-0005-0000-0000-0000E8020000}"/>
    <cellStyle name="20% - Accent6 2 3 12" xfId="1188" xr:uid="{00000000-0005-0000-0000-0000E9020000}"/>
    <cellStyle name="20% - Accent6 2 3 2" xfId="1189" xr:uid="{00000000-0005-0000-0000-0000EA020000}"/>
    <cellStyle name="20% - Accent6 2 3 3" xfId="1190" xr:uid="{00000000-0005-0000-0000-0000EB020000}"/>
    <cellStyle name="20% - Accent6 2 3 4" xfId="1191" xr:uid="{00000000-0005-0000-0000-0000EC020000}"/>
    <cellStyle name="20% - Accent6 2 3 5" xfId="1192" xr:uid="{00000000-0005-0000-0000-0000ED020000}"/>
    <cellStyle name="20% - Accent6 2 3 6" xfId="1193" xr:uid="{00000000-0005-0000-0000-0000EE020000}"/>
    <cellStyle name="20% - Accent6 2 3 7" xfId="1194" xr:uid="{00000000-0005-0000-0000-0000EF020000}"/>
    <cellStyle name="20% - Accent6 2 3 8" xfId="1195" xr:uid="{00000000-0005-0000-0000-0000F0020000}"/>
    <cellStyle name="20% - Accent6 2 3 9" xfId="1196" xr:uid="{00000000-0005-0000-0000-0000F1020000}"/>
    <cellStyle name="20% - Accent6 2 3_Derivatives" xfId="1197" xr:uid="{00000000-0005-0000-0000-0000F2020000}"/>
    <cellStyle name="20% - Accent6 2 4" xfId="1198" xr:uid="{00000000-0005-0000-0000-0000F3020000}"/>
    <cellStyle name="20% - Accent6 2 5" xfId="1199" xr:uid="{00000000-0005-0000-0000-0000F4020000}"/>
    <cellStyle name="20% - Accent6 2 6" xfId="1200" xr:uid="{00000000-0005-0000-0000-0000F5020000}"/>
    <cellStyle name="20% - Accent6 2 7" xfId="1201" xr:uid="{00000000-0005-0000-0000-0000F6020000}"/>
    <cellStyle name="20% - Accent6 2 8" xfId="1202" xr:uid="{00000000-0005-0000-0000-0000F7020000}"/>
    <cellStyle name="20% - Accent6 2 9" xfId="1203" xr:uid="{00000000-0005-0000-0000-0000F8020000}"/>
    <cellStyle name="20% - Accent6 2_5130_new" xfId="1204" xr:uid="{00000000-0005-0000-0000-0000F9020000}"/>
    <cellStyle name="20% - Accent6 3" xfId="60" xr:uid="{00000000-0005-0000-0000-0000FA020000}"/>
    <cellStyle name="20% - Accent6 3 10" xfId="6488" xr:uid="{6D3C0DC8-6300-4447-9E1A-941350435991}"/>
    <cellStyle name="20% - Accent6 3 11" xfId="6489" xr:uid="{568BA041-23F8-4070-93C2-A7BA35E991A2}"/>
    <cellStyle name="20% - Accent6 3 12" xfId="6490" xr:uid="{074DEA4B-4B16-4814-B9BD-0B4011B18674}"/>
    <cellStyle name="20% - Accent6 3 13" xfId="6491" xr:uid="{858B4EC4-B4EB-4591-971D-D7325AE5D4BC}"/>
    <cellStyle name="20% - Accent6 3 14" xfId="6492" xr:uid="{B6509874-C1B3-43FD-A9A3-7B800C5DE67E}"/>
    <cellStyle name="20% - Accent6 3 15" xfId="6493" xr:uid="{903EF868-1DD1-412B-9543-6C4A5B62019A}"/>
    <cellStyle name="20% - Accent6 3 16" xfId="6494" xr:uid="{BE4E99B1-8E24-43AC-A73A-CA87AE522D56}"/>
    <cellStyle name="20% - Accent6 3 17" xfId="6495" xr:uid="{D2D04D34-0CB1-4B97-BBBD-7E15EC40474E}"/>
    <cellStyle name="20% - Accent6 3 18" xfId="6496" xr:uid="{51AFF137-1C5D-41F5-B1CB-35B97D018349}"/>
    <cellStyle name="20% - Accent6 3 19" xfId="6497" xr:uid="{8AA7FF8E-F73D-49C3-B3B6-7A06EE9E00BD}"/>
    <cellStyle name="20% - Accent6 3 2" xfId="1205" xr:uid="{00000000-0005-0000-0000-0000FB020000}"/>
    <cellStyle name="20% - Accent6 3 20" xfId="6498" xr:uid="{C6F8D6AF-C670-415C-9573-5D81E4B82B43}"/>
    <cellStyle name="20% - Accent6 3 21" xfId="6499" xr:uid="{3003524A-E0BA-418B-94B4-66D6190D0C48}"/>
    <cellStyle name="20% - Accent6 3 22" xfId="6500" xr:uid="{E3F0DDAF-9FB4-4194-ABC9-44382D248CD9}"/>
    <cellStyle name="20% - Accent6 3 23" xfId="6501" xr:uid="{585CDEE8-8D32-48B6-8EE0-A535628409E6}"/>
    <cellStyle name="20% - Accent6 3 24" xfId="6502" xr:uid="{42F6B74B-586D-474F-851C-AABBF1B22792}"/>
    <cellStyle name="20% - Accent6 3 25" xfId="6503" xr:uid="{79EDFB9E-C925-40FD-8A4E-DDF3044473ED}"/>
    <cellStyle name="20% - Accent6 3 26" xfId="6504" xr:uid="{B8CD8803-A3FF-4445-AA02-34DEE79B49AD}"/>
    <cellStyle name="20% - Accent6 3 3" xfId="1206" xr:uid="{00000000-0005-0000-0000-0000FC020000}"/>
    <cellStyle name="20% - Accent6 3 4" xfId="1207" xr:uid="{00000000-0005-0000-0000-0000FD020000}"/>
    <cellStyle name="20% - Accent6 3 5" xfId="1208" xr:uid="{00000000-0005-0000-0000-0000FE020000}"/>
    <cellStyle name="20% - Accent6 3 6" xfId="1209" xr:uid="{00000000-0005-0000-0000-0000FF020000}"/>
    <cellStyle name="20% - Accent6 3 7" xfId="1210" xr:uid="{00000000-0005-0000-0000-000000030000}"/>
    <cellStyle name="20% - Accent6 3 8" xfId="1211" xr:uid="{00000000-0005-0000-0000-000001030000}"/>
    <cellStyle name="20% - Accent6 3 9" xfId="1212" xr:uid="{00000000-0005-0000-0000-000002030000}"/>
    <cellStyle name="20% - Accent6 3_Australia Results" xfId="6505" xr:uid="{04351DE7-DA34-4D18-8306-8B8874ACE7B1}"/>
    <cellStyle name="20% - Accent6 4" xfId="61" xr:uid="{00000000-0005-0000-0000-000004030000}"/>
    <cellStyle name="20% - Accent6 4 2" xfId="1213" xr:uid="{00000000-0005-0000-0000-000005030000}"/>
    <cellStyle name="20% - Accent6 4 3" xfId="1214" xr:uid="{00000000-0005-0000-0000-000006030000}"/>
    <cellStyle name="20% - Accent6 4 4" xfId="1215" xr:uid="{00000000-0005-0000-0000-000007030000}"/>
    <cellStyle name="20% - Accent6 4 5" xfId="1216" xr:uid="{00000000-0005-0000-0000-000008030000}"/>
    <cellStyle name="20% - Accent6 4 6" xfId="1217" xr:uid="{00000000-0005-0000-0000-000009030000}"/>
    <cellStyle name="20% - Accent6 4 7" xfId="1218" xr:uid="{00000000-0005-0000-0000-00000A030000}"/>
    <cellStyle name="20% - Accent6 4 8" xfId="1219" xr:uid="{00000000-0005-0000-0000-00000B030000}"/>
    <cellStyle name="20% - Accent6 4 9" xfId="1220" xr:uid="{00000000-0005-0000-0000-00000C030000}"/>
    <cellStyle name="20% - Accent6 4_Australia Results" xfId="6506" xr:uid="{123E5B5D-B5CB-48DE-B793-39E6CE6EA548}"/>
    <cellStyle name="20% - Accent6 5" xfId="62" xr:uid="{00000000-0005-0000-0000-00000E030000}"/>
    <cellStyle name="20% - Accent6 5 2" xfId="1221" xr:uid="{00000000-0005-0000-0000-00000F030000}"/>
    <cellStyle name="20% - Accent6 5_Cash flow" xfId="6507" xr:uid="{0151FC90-3927-4969-9880-92FF80733369}"/>
    <cellStyle name="20% - Accent6 6" xfId="1222" xr:uid="{00000000-0005-0000-0000-000011030000}"/>
    <cellStyle name="20% - Accent6 6 2" xfId="1223" xr:uid="{00000000-0005-0000-0000-000012030000}"/>
    <cellStyle name="20% - Accent6 6_Cash flow" xfId="6508" xr:uid="{EA064E10-A8E3-4471-82F4-163DA0876C71}"/>
    <cellStyle name="20% - Accent6 7" xfId="1224" xr:uid="{00000000-0005-0000-0000-000014030000}"/>
    <cellStyle name="20% - Accent6 8" xfId="1225" xr:uid="{00000000-0005-0000-0000-000015030000}"/>
    <cellStyle name="20% - Accent6 9" xfId="1226" xr:uid="{00000000-0005-0000-0000-000016030000}"/>
    <cellStyle name="20% - Akzent1" xfId="6509" xr:uid="{16BE8328-AE3D-469A-8C3B-8D4B3F5CD83F}"/>
    <cellStyle name="20% - Akzent2" xfId="6510" xr:uid="{D093575E-A8EB-4876-8F08-4316B34E6406}"/>
    <cellStyle name="20% - Akzent3" xfId="6511" xr:uid="{8C8652E2-70B7-49E6-A606-4F242D1B1624}"/>
    <cellStyle name="20% - Akzent4" xfId="6512" xr:uid="{49B11AA5-4364-4840-8EEF-4196436C6C52}"/>
    <cellStyle name="20% - Akzent5" xfId="6513" xr:uid="{E3D15134-3228-45F2-BEAD-4911EC7B313B}"/>
    <cellStyle name="20% - Akzent6" xfId="6514" xr:uid="{7AA8CE1A-80E7-4E03-BE30-6DDDC41B4BF2}"/>
    <cellStyle name="20% - Ênfase1" xfId="6515" xr:uid="{A827C354-8445-405E-AD91-BDA325939806}"/>
    <cellStyle name="20% - Ênfase2" xfId="6516" xr:uid="{77C8A541-777C-4AD5-8D87-5044F3B94B34}"/>
    <cellStyle name="20% - Ênfase3" xfId="6517" xr:uid="{E033678A-176B-47C6-B425-8389636FB5B2}"/>
    <cellStyle name="20% - Ênfase4" xfId="6518" xr:uid="{ECED216C-9B6D-4E99-A004-FAA4291E2E94}"/>
    <cellStyle name="20% - Ênfase5" xfId="6519" xr:uid="{67850B21-54CB-407F-823E-6C5129E90F7B}"/>
    <cellStyle name="20% - Ênfase6" xfId="6520" xr:uid="{5E70073E-7E86-43E2-A447-4FD5E1D300A2}"/>
    <cellStyle name="20% - Énfasis1" xfId="6521" xr:uid="{69B2E95A-8205-4427-BBE6-CC6065D2DC4B}"/>
    <cellStyle name="20% - Énfasis2" xfId="6522" xr:uid="{CC9BBB08-0240-421B-B715-A9807D5F6D27}"/>
    <cellStyle name="20% - Énfasis3" xfId="6523" xr:uid="{AD227A60-E159-4D94-BE1D-AE3CC5D0D576}"/>
    <cellStyle name="20% - Énfasis4" xfId="6524" xr:uid="{47DDF271-2D0D-49E3-9904-ACD079685CFC}"/>
    <cellStyle name="20% - Énfasis5" xfId="6525" xr:uid="{49CE86B5-5259-49B5-BB85-E0AE02985B4E}"/>
    <cellStyle name="20% - Énfasis6" xfId="6526" xr:uid="{4FA71D0E-C8E7-4A4C-BE14-F019FE112D8C}"/>
    <cellStyle name="40 % - Akzent1" xfId="6527" xr:uid="{52973728-E59F-49D1-8826-6366B42E764E}"/>
    <cellStyle name="40 % - Akzent1 2" xfId="6528" xr:uid="{E9B09F7D-E463-4941-848A-5A025F66D925}"/>
    <cellStyle name="40 % - Akzent2" xfId="6529" xr:uid="{5D128C38-051F-45AC-B271-57D3F907B5DF}"/>
    <cellStyle name="40 % - Akzent2 2" xfId="6530" xr:uid="{FB1476D4-C22A-4217-AECD-D81417B328B4}"/>
    <cellStyle name="40 % - Akzent3" xfId="6531" xr:uid="{254860D7-984D-4E4C-83D4-47D71C98C055}"/>
    <cellStyle name="40 % - Akzent3 2" xfId="6532" xr:uid="{FF8DBD01-E8E9-4596-B47B-6701E3B07392}"/>
    <cellStyle name="40 % - Akzent4" xfId="6533" xr:uid="{4AC88F3C-88B5-4755-BAF6-5E82162A19E6}"/>
    <cellStyle name="40 % - Akzent4 2" xfId="6534" xr:uid="{655D3CEF-3ECF-4237-98AE-DA123903AFEC}"/>
    <cellStyle name="40 % - Akzent5" xfId="6535" xr:uid="{513B9180-CD4F-43C1-B402-EFEB02ECC822}"/>
    <cellStyle name="40 % - Akzent5 2" xfId="6536" xr:uid="{6F057DE2-2301-412A-9C96-923AB678CAC8}"/>
    <cellStyle name="40 % - Akzent6" xfId="6537" xr:uid="{A3A8DAF4-37F3-4166-8F3A-744D3269A23A}"/>
    <cellStyle name="40 % - Akzent6 2" xfId="6538" xr:uid="{930803E6-FDD2-44D1-99D8-4005F9A696B1}"/>
    <cellStyle name="40 % - Accent1" xfId="63" xr:uid="{00000000-0005-0000-0000-000017030000}"/>
    <cellStyle name="40 % - Accent2" xfId="64" xr:uid="{00000000-0005-0000-0000-000018030000}"/>
    <cellStyle name="40 % - Accent3" xfId="65" xr:uid="{00000000-0005-0000-0000-000019030000}"/>
    <cellStyle name="40 % - Accent4" xfId="66" xr:uid="{00000000-0005-0000-0000-00001A030000}"/>
    <cellStyle name="40 % - Accent5" xfId="67" xr:uid="{00000000-0005-0000-0000-00001B030000}"/>
    <cellStyle name="40 % - Accent6" xfId="68" xr:uid="{00000000-0005-0000-0000-00001C030000}"/>
    <cellStyle name="40% - Accent1 10" xfId="1227" xr:uid="{00000000-0005-0000-0000-00001D030000}"/>
    <cellStyle name="40% - Accent1 11" xfId="1228" xr:uid="{00000000-0005-0000-0000-00001E030000}"/>
    <cellStyle name="40% - Accent1 12" xfId="1229" xr:uid="{00000000-0005-0000-0000-00001F030000}"/>
    <cellStyle name="40% - Accent1 13" xfId="1230" xr:uid="{00000000-0005-0000-0000-000020030000}"/>
    <cellStyle name="40% - Accent1 14" xfId="6539" xr:uid="{2AC343B9-ADAD-4862-9507-FD0C87935683}"/>
    <cellStyle name="40% - Accent1 2" xfId="69" xr:uid="{00000000-0005-0000-0000-000021030000}"/>
    <cellStyle name="40% - Accent1 2 10" xfId="1231" xr:uid="{00000000-0005-0000-0000-000022030000}"/>
    <cellStyle name="40% - Accent1 2 10 2" xfId="1232" xr:uid="{00000000-0005-0000-0000-000023030000}"/>
    <cellStyle name="40% - Accent1 2 10 2 2" xfId="1233" xr:uid="{00000000-0005-0000-0000-000024030000}"/>
    <cellStyle name="40% - Accent1 2 10 3" xfId="1234" xr:uid="{00000000-0005-0000-0000-000025030000}"/>
    <cellStyle name="40% - Accent1 2 11" xfId="1235" xr:uid="{00000000-0005-0000-0000-000026030000}"/>
    <cellStyle name="40% - Accent1 2 11 2" xfId="1236" xr:uid="{00000000-0005-0000-0000-000027030000}"/>
    <cellStyle name="40% - Accent1 2 11 2 2" xfId="1237" xr:uid="{00000000-0005-0000-0000-000028030000}"/>
    <cellStyle name="40% - Accent1 2 11 3" xfId="1238" xr:uid="{00000000-0005-0000-0000-000029030000}"/>
    <cellStyle name="40% - Accent1 2 12" xfId="1239" xr:uid="{00000000-0005-0000-0000-00002A030000}"/>
    <cellStyle name="40% - Accent1 2 12 2" xfId="1240" xr:uid="{00000000-0005-0000-0000-00002B030000}"/>
    <cellStyle name="40% - Accent1 2 12 2 2" xfId="1241" xr:uid="{00000000-0005-0000-0000-00002C030000}"/>
    <cellStyle name="40% - Accent1 2 12 3" xfId="1242" xr:uid="{00000000-0005-0000-0000-00002D030000}"/>
    <cellStyle name="40% - Accent1 2 13" xfId="1243" xr:uid="{00000000-0005-0000-0000-00002E030000}"/>
    <cellStyle name="40% - Accent1 2 13 2" xfId="1244" xr:uid="{00000000-0005-0000-0000-00002F030000}"/>
    <cellStyle name="40% - Accent1 2 13 2 2" xfId="1245" xr:uid="{00000000-0005-0000-0000-000030030000}"/>
    <cellStyle name="40% - Accent1 2 13 3" xfId="1246" xr:uid="{00000000-0005-0000-0000-000031030000}"/>
    <cellStyle name="40% - Accent1 2 14" xfId="1247" xr:uid="{00000000-0005-0000-0000-000032030000}"/>
    <cellStyle name="40% - Accent1 2 15" xfId="1248" xr:uid="{00000000-0005-0000-0000-000033030000}"/>
    <cellStyle name="40% - Accent1 2 16" xfId="1249" xr:uid="{00000000-0005-0000-0000-000034030000}"/>
    <cellStyle name="40% - Accent1 2 17" xfId="1250" xr:uid="{00000000-0005-0000-0000-000035030000}"/>
    <cellStyle name="40% - Accent1 2 18" xfId="1251" xr:uid="{00000000-0005-0000-0000-000036030000}"/>
    <cellStyle name="40% - Accent1 2 19" xfId="1252" xr:uid="{00000000-0005-0000-0000-000037030000}"/>
    <cellStyle name="40% - Accent1 2 19 2" xfId="1253" xr:uid="{00000000-0005-0000-0000-000038030000}"/>
    <cellStyle name="40% - Accent1 2 2" xfId="1254" xr:uid="{00000000-0005-0000-0000-000039030000}"/>
    <cellStyle name="40% - Accent1 2 2 10" xfId="6541" xr:uid="{71360D0C-828F-4B81-9B2D-A15015EB40E4}"/>
    <cellStyle name="40% - Accent1 2 2 11" xfId="6542" xr:uid="{375742FA-68BB-4AB5-8979-D08EEF0BCAC3}"/>
    <cellStyle name="40% - Accent1 2 2 12" xfId="6543" xr:uid="{C540AC07-0092-4270-B442-0116B0AEF144}"/>
    <cellStyle name="40% - Accent1 2 2 13" xfId="6544" xr:uid="{7D360D6F-90E0-4E1A-AA3B-E6768EE47B2D}"/>
    <cellStyle name="40% - Accent1 2 2 14" xfId="6545" xr:uid="{DFB5256D-5274-4095-972B-0C737F5839F8}"/>
    <cellStyle name="40% - Accent1 2 2 15" xfId="6546" xr:uid="{1B0EE03A-39FF-47A3-A6E5-2D18BEF3CE74}"/>
    <cellStyle name="40% - Accent1 2 2 16" xfId="6547" xr:uid="{763BB6B1-DE4D-41B9-8CD0-6456365EBF09}"/>
    <cellStyle name="40% - Accent1 2 2 17" xfId="6548" xr:uid="{20348DAC-9A99-40F2-9E4C-1E7C24051B4A}"/>
    <cellStyle name="40% - Accent1 2 2 18" xfId="6549" xr:uid="{9BE83C7F-5A26-43D8-9762-E95B143E4039}"/>
    <cellStyle name="40% - Accent1 2 2 19" xfId="6550" xr:uid="{33F4F90F-08CF-4D8A-81C2-42390617642E}"/>
    <cellStyle name="40% - Accent1 2 2 2" xfId="1255" xr:uid="{00000000-0005-0000-0000-00003A030000}"/>
    <cellStyle name="40% - Accent1 2 2 20" xfId="6551" xr:uid="{E48D4752-610E-4526-96DB-BF144956D043}"/>
    <cellStyle name="40% - Accent1 2 2 21" xfId="6552" xr:uid="{8E04D426-3CCA-4C4C-BBC2-48A57A46473A}"/>
    <cellStyle name="40% - Accent1 2 2 22" xfId="6553" xr:uid="{10C67501-F74C-4AAE-BCFB-AAD4AD67A826}"/>
    <cellStyle name="40% - Accent1 2 2 23" xfId="6554" xr:uid="{A5E2FC89-4D17-459C-B090-B30E3998FCE8}"/>
    <cellStyle name="40% - Accent1 2 2 24" xfId="6555" xr:uid="{D32E1D5E-7B6B-43AF-9672-C56797B5DBA2}"/>
    <cellStyle name="40% - Accent1 2 2 25" xfId="6556" xr:uid="{8ECC8DDF-4F54-47BF-8444-5CCFF1F5208F}"/>
    <cellStyle name="40% - Accent1 2 2 26" xfId="6557" xr:uid="{49D2E485-DA72-4661-9493-C4738179390F}"/>
    <cellStyle name="40% - Accent1 2 2 3" xfId="1256" xr:uid="{00000000-0005-0000-0000-00003B030000}"/>
    <cellStyle name="40% - Accent1 2 2 4" xfId="1257" xr:uid="{00000000-0005-0000-0000-00003C030000}"/>
    <cellStyle name="40% - Accent1 2 2 5" xfId="1258" xr:uid="{00000000-0005-0000-0000-00003D030000}"/>
    <cellStyle name="40% - Accent1 2 2 6" xfId="1259" xr:uid="{00000000-0005-0000-0000-00003E030000}"/>
    <cellStyle name="40% - Accent1 2 2 7" xfId="1260" xr:uid="{00000000-0005-0000-0000-00003F030000}"/>
    <cellStyle name="40% - Accent1 2 2 8" xfId="1261" xr:uid="{00000000-0005-0000-0000-000040030000}"/>
    <cellStyle name="40% - Accent1 2 2 8 2" xfId="1262" xr:uid="{00000000-0005-0000-0000-000041030000}"/>
    <cellStyle name="40% - Accent1 2 2 8_Cash flow" xfId="6558" xr:uid="{48B0A6D6-E260-43B0-9C5C-5F991F150669}"/>
    <cellStyle name="40% - Accent1 2 2 9" xfId="1263" xr:uid="{00000000-0005-0000-0000-000042030000}"/>
    <cellStyle name="40% - Accent1 2 2_Cash flow" xfId="6540" xr:uid="{382FEDE8-3DF7-4B7B-A629-B461F5E8DAC0}"/>
    <cellStyle name="40% - Accent1 2 3" xfId="1264" xr:uid="{00000000-0005-0000-0000-000044030000}"/>
    <cellStyle name="40% - Accent1 2 3 10" xfId="1265" xr:uid="{00000000-0005-0000-0000-000045030000}"/>
    <cellStyle name="40% - Accent1 2 3 11" xfId="1266" xr:uid="{00000000-0005-0000-0000-000046030000}"/>
    <cellStyle name="40% - Accent1 2 3 12" xfId="1267" xr:uid="{00000000-0005-0000-0000-000047030000}"/>
    <cellStyle name="40% - Accent1 2 3 13" xfId="1268" xr:uid="{00000000-0005-0000-0000-000048030000}"/>
    <cellStyle name="40% - Accent1 2 3 14" xfId="1269" xr:uid="{00000000-0005-0000-0000-000049030000}"/>
    <cellStyle name="40% - Accent1 2 3 15" xfId="1270" xr:uid="{00000000-0005-0000-0000-00004A030000}"/>
    <cellStyle name="40% - Accent1 2 3 16" xfId="1271" xr:uid="{00000000-0005-0000-0000-00004B030000}"/>
    <cellStyle name="40% - Accent1 2 3 17" xfId="1272" xr:uid="{00000000-0005-0000-0000-00004C030000}"/>
    <cellStyle name="40% - Accent1 2 3 18" xfId="1273" xr:uid="{00000000-0005-0000-0000-00004D030000}"/>
    <cellStyle name="40% - Accent1 2 3 18 2" xfId="1274" xr:uid="{00000000-0005-0000-0000-00004E030000}"/>
    <cellStyle name="40% - Accent1 2 3 19" xfId="1275" xr:uid="{00000000-0005-0000-0000-00004F030000}"/>
    <cellStyle name="40% - Accent1 2 3 2" xfId="1276" xr:uid="{00000000-0005-0000-0000-000050030000}"/>
    <cellStyle name="40% - Accent1 2 3 2 10" xfId="1277" xr:uid="{00000000-0005-0000-0000-000051030000}"/>
    <cellStyle name="40% - Accent1 2 3 2 11" xfId="1278" xr:uid="{00000000-0005-0000-0000-000052030000}"/>
    <cellStyle name="40% - Accent1 2 3 2 12" xfId="1279" xr:uid="{00000000-0005-0000-0000-000053030000}"/>
    <cellStyle name="40% - Accent1 2 3 2 2" xfId="1280" xr:uid="{00000000-0005-0000-0000-000054030000}"/>
    <cellStyle name="40% - Accent1 2 3 2 3" xfId="1281" xr:uid="{00000000-0005-0000-0000-000055030000}"/>
    <cellStyle name="40% - Accent1 2 3 2 4" xfId="1282" xr:uid="{00000000-0005-0000-0000-000056030000}"/>
    <cellStyle name="40% - Accent1 2 3 2 5" xfId="1283" xr:uid="{00000000-0005-0000-0000-000057030000}"/>
    <cellStyle name="40% - Accent1 2 3 2 6" xfId="1284" xr:uid="{00000000-0005-0000-0000-000058030000}"/>
    <cellStyle name="40% - Accent1 2 3 2 7" xfId="1285" xr:uid="{00000000-0005-0000-0000-000059030000}"/>
    <cellStyle name="40% - Accent1 2 3 2 8" xfId="1286" xr:uid="{00000000-0005-0000-0000-00005A030000}"/>
    <cellStyle name="40% - Accent1 2 3 2 9" xfId="1287" xr:uid="{00000000-0005-0000-0000-00005B030000}"/>
    <cellStyle name="40% - Accent1 2 3 3" xfId="1288" xr:uid="{00000000-0005-0000-0000-00005C030000}"/>
    <cellStyle name="40% - Accent1 2 3 4" xfId="1289" xr:uid="{00000000-0005-0000-0000-00005D030000}"/>
    <cellStyle name="40% - Accent1 2 3 5" xfId="1290" xr:uid="{00000000-0005-0000-0000-00005E030000}"/>
    <cellStyle name="40% - Accent1 2 3 6" xfId="1291" xr:uid="{00000000-0005-0000-0000-00005F030000}"/>
    <cellStyle name="40% - Accent1 2 3 7" xfId="1292" xr:uid="{00000000-0005-0000-0000-000060030000}"/>
    <cellStyle name="40% - Accent1 2 3 8" xfId="1293" xr:uid="{00000000-0005-0000-0000-000061030000}"/>
    <cellStyle name="40% - Accent1 2 3 9" xfId="1294" xr:uid="{00000000-0005-0000-0000-000062030000}"/>
    <cellStyle name="40% - Accent1 2 3_Derivatives" xfId="1295" xr:uid="{00000000-0005-0000-0000-000063030000}"/>
    <cellStyle name="40% - Accent1 2 4" xfId="1296" xr:uid="{00000000-0005-0000-0000-000064030000}"/>
    <cellStyle name="40% - Accent1 2 4 2" xfId="1297" xr:uid="{00000000-0005-0000-0000-000065030000}"/>
    <cellStyle name="40% - Accent1 2 4 2 2" xfId="1298" xr:uid="{00000000-0005-0000-0000-000066030000}"/>
    <cellStyle name="40% - Accent1 2 4 3" xfId="1299" xr:uid="{00000000-0005-0000-0000-000067030000}"/>
    <cellStyle name="40% - Accent1 2 4_EQU" xfId="1300" xr:uid="{00000000-0005-0000-0000-000068030000}"/>
    <cellStyle name="40% - Accent1 2 5" xfId="1301" xr:uid="{00000000-0005-0000-0000-000069030000}"/>
    <cellStyle name="40% - Accent1 2 5 2" xfId="1302" xr:uid="{00000000-0005-0000-0000-00006A030000}"/>
    <cellStyle name="40% - Accent1 2 5 2 2" xfId="1303" xr:uid="{00000000-0005-0000-0000-00006B030000}"/>
    <cellStyle name="40% - Accent1 2 5 3" xfId="1304" xr:uid="{00000000-0005-0000-0000-00006C030000}"/>
    <cellStyle name="40% - Accent1 2 5_Derivatives" xfId="1305" xr:uid="{00000000-0005-0000-0000-00006D030000}"/>
    <cellStyle name="40% - Accent1 2 6" xfId="1306" xr:uid="{00000000-0005-0000-0000-00006E030000}"/>
    <cellStyle name="40% - Accent1 2 6 2" xfId="1307" xr:uid="{00000000-0005-0000-0000-00006F030000}"/>
    <cellStyle name="40% - Accent1 2 6 2 2" xfId="1308" xr:uid="{00000000-0005-0000-0000-000070030000}"/>
    <cellStyle name="40% - Accent1 2 6 3" xfId="1309" xr:uid="{00000000-0005-0000-0000-000071030000}"/>
    <cellStyle name="40% - Accent1 2 6_Derivatives" xfId="1310" xr:uid="{00000000-0005-0000-0000-000072030000}"/>
    <cellStyle name="40% - Accent1 2 7" xfId="1311" xr:uid="{00000000-0005-0000-0000-000073030000}"/>
    <cellStyle name="40% - Accent1 2 7 2" xfId="1312" xr:uid="{00000000-0005-0000-0000-000074030000}"/>
    <cellStyle name="40% - Accent1 2 7 2 2" xfId="1313" xr:uid="{00000000-0005-0000-0000-000075030000}"/>
    <cellStyle name="40% - Accent1 2 7 3" xfId="1314" xr:uid="{00000000-0005-0000-0000-000076030000}"/>
    <cellStyle name="40% - Accent1 2 7_Derivatives" xfId="1315" xr:uid="{00000000-0005-0000-0000-000077030000}"/>
    <cellStyle name="40% - Accent1 2 8" xfId="1316" xr:uid="{00000000-0005-0000-0000-000078030000}"/>
    <cellStyle name="40% - Accent1 2 8 2" xfId="1317" xr:uid="{00000000-0005-0000-0000-000079030000}"/>
    <cellStyle name="40% - Accent1 2 8 2 2" xfId="1318" xr:uid="{00000000-0005-0000-0000-00007A030000}"/>
    <cellStyle name="40% - Accent1 2 8 3" xfId="1319" xr:uid="{00000000-0005-0000-0000-00007B030000}"/>
    <cellStyle name="40% - Accent1 2 8_Derivatives" xfId="1320" xr:uid="{00000000-0005-0000-0000-00007C030000}"/>
    <cellStyle name="40% - Accent1 2 9" xfId="1321" xr:uid="{00000000-0005-0000-0000-00007D030000}"/>
    <cellStyle name="40% - Accent1 2 9 2" xfId="1322" xr:uid="{00000000-0005-0000-0000-00007E030000}"/>
    <cellStyle name="40% - Accent1 2 9 2 2" xfId="1323" xr:uid="{00000000-0005-0000-0000-00007F030000}"/>
    <cellStyle name="40% - Accent1 2 9 3" xfId="1324" xr:uid="{00000000-0005-0000-0000-000080030000}"/>
    <cellStyle name="40% - Accent1 2_5130_new" xfId="1325" xr:uid="{00000000-0005-0000-0000-000081030000}"/>
    <cellStyle name="40% - Accent1 3" xfId="70" xr:uid="{00000000-0005-0000-0000-000082030000}"/>
    <cellStyle name="40% - Accent1 3 10" xfId="1326" xr:uid="{00000000-0005-0000-0000-000083030000}"/>
    <cellStyle name="40% - Accent1 3 11" xfId="6559" xr:uid="{F5892683-4BAD-4D8D-865B-0849E1BB155B}"/>
    <cellStyle name="40% - Accent1 3 12" xfId="6560" xr:uid="{0F591101-79EC-43C2-B2C1-7E86A3A889A9}"/>
    <cellStyle name="40% - Accent1 3 13" xfId="6561" xr:uid="{BC8E3FC0-A3E6-408B-8095-64B8A37CBE6D}"/>
    <cellStyle name="40% - Accent1 3 14" xfId="6562" xr:uid="{23EF6172-EC7B-48BD-B59A-02BC8BFC7744}"/>
    <cellStyle name="40% - Accent1 3 15" xfId="6563" xr:uid="{08713E4E-A2FC-43A6-A4DA-ACD42B61F83C}"/>
    <cellStyle name="40% - Accent1 3 16" xfId="6564" xr:uid="{92DEA5D7-7B8A-444F-8E4F-FBEE1646DEA3}"/>
    <cellStyle name="40% - Accent1 3 17" xfId="6565" xr:uid="{806C770D-2E14-4449-9B14-A9DD30519724}"/>
    <cellStyle name="40% - Accent1 3 18" xfId="6566" xr:uid="{21668B30-DBBC-4999-B3D3-56A18EE81093}"/>
    <cellStyle name="40% - Accent1 3 19" xfId="6567" xr:uid="{67C8780B-9039-4829-AC01-CFCFA75972B4}"/>
    <cellStyle name="40% - Accent1 3 2" xfId="1327" xr:uid="{00000000-0005-0000-0000-000084030000}"/>
    <cellStyle name="40% - Accent1 3 2 2" xfId="1328" xr:uid="{00000000-0005-0000-0000-000085030000}"/>
    <cellStyle name="40% - Accent1 3 2 2 2" xfId="1329" xr:uid="{00000000-0005-0000-0000-000086030000}"/>
    <cellStyle name="40% - Accent1 3 2 3" xfId="1330" xr:uid="{00000000-0005-0000-0000-000087030000}"/>
    <cellStyle name="40% - Accent1 3 2_Cash flow" xfId="6568" xr:uid="{FCBA0389-4416-4516-B8B6-5CB47703905C}"/>
    <cellStyle name="40% - Accent1 3 20" xfId="6569" xr:uid="{2C79269E-4640-4261-AD09-646E014F261F}"/>
    <cellStyle name="40% - Accent1 3 21" xfId="6570" xr:uid="{D08DA096-F3DC-4CB8-9150-271DFB8FCFDE}"/>
    <cellStyle name="40% - Accent1 3 22" xfId="6571" xr:uid="{D6F9ACC0-A2FA-456F-95A9-4FA153BA0835}"/>
    <cellStyle name="40% - Accent1 3 23" xfId="6572" xr:uid="{9929D2F3-5340-4C76-A097-C5CFF79D9A2B}"/>
    <cellStyle name="40% - Accent1 3 24" xfId="6573" xr:uid="{83494910-226A-475C-B6F6-8C2BF905E566}"/>
    <cellStyle name="40% - Accent1 3 25" xfId="6574" xr:uid="{C1485DEC-8399-42B4-B023-FABA7AF84EEB}"/>
    <cellStyle name="40% - Accent1 3 26" xfId="6575" xr:uid="{428A0293-F705-496A-BB47-E65D64872C7F}"/>
    <cellStyle name="40% - Accent1 3 3" xfId="1331" xr:uid="{00000000-0005-0000-0000-000089030000}"/>
    <cellStyle name="40% - Accent1 3 4" xfId="1332" xr:uid="{00000000-0005-0000-0000-00008A030000}"/>
    <cellStyle name="40% - Accent1 3 5" xfId="1333" xr:uid="{00000000-0005-0000-0000-00008B030000}"/>
    <cellStyle name="40% - Accent1 3 6" xfId="1334" xr:uid="{00000000-0005-0000-0000-00008C030000}"/>
    <cellStyle name="40% - Accent1 3 7" xfId="1335" xr:uid="{00000000-0005-0000-0000-00008D030000}"/>
    <cellStyle name="40% - Accent1 3 8" xfId="1336" xr:uid="{00000000-0005-0000-0000-00008E030000}"/>
    <cellStyle name="40% - Accent1 3 9" xfId="1337" xr:uid="{00000000-0005-0000-0000-00008F030000}"/>
    <cellStyle name="40% - Accent1 3 9 2" xfId="1338" xr:uid="{00000000-0005-0000-0000-000090030000}"/>
    <cellStyle name="40% - Accent1 3 9_Cash flow" xfId="6576" xr:uid="{FAA8146E-4C5C-4CAE-8AA7-B475B69DDB20}"/>
    <cellStyle name="40% - Accent1 3_Australia Results" xfId="6577" xr:uid="{0B630AC1-B4D9-4EC1-85E0-CB0E6599E33F}"/>
    <cellStyle name="40% - Accent1 4" xfId="71" xr:uid="{00000000-0005-0000-0000-000092030000}"/>
    <cellStyle name="40% - Accent1 4 10" xfId="1339" xr:uid="{00000000-0005-0000-0000-000093030000}"/>
    <cellStyle name="40% - Accent1 4 2" xfId="1340" xr:uid="{00000000-0005-0000-0000-000094030000}"/>
    <cellStyle name="40% - Accent1 4 2 2" xfId="1341" xr:uid="{00000000-0005-0000-0000-000095030000}"/>
    <cellStyle name="40% - Accent1 4 2 2 2" xfId="1342" xr:uid="{00000000-0005-0000-0000-000096030000}"/>
    <cellStyle name="40% - Accent1 4 2 3" xfId="1343" xr:uid="{00000000-0005-0000-0000-000097030000}"/>
    <cellStyle name="40% - Accent1 4 2_EQU" xfId="1344" xr:uid="{00000000-0005-0000-0000-000098030000}"/>
    <cellStyle name="40% - Accent1 4 3" xfId="1345" xr:uid="{00000000-0005-0000-0000-000099030000}"/>
    <cellStyle name="40% - Accent1 4 4" xfId="1346" xr:uid="{00000000-0005-0000-0000-00009A030000}"/>
    <cellStyle name="40% - Accent1 4 5" xfId="1347" xr:uid="{00000000-0005-0000-0000-00009B030000}"/>
    <cellStyle name="40% - Accent1 4 6" xfId="1348" xr:uid="{00000000-0005-0000-0000-00009C030000}"/>
    <cellStyle name="40% - Accent1 4 7" xfId="1349" xr:uid="{00000000-0005-0000-0000-00009D030000}"/>
    <cellStyle name="40% - Accent1 4 8" xfId="1350" xr:uid="{00000000-0005-0000-0000-00009E030000}"/>
    <cellStyle name="40% - Accent1 4 9" xfId="1351" xr:uid="{00000000-0005-0000-0000-00009F030000}"/>
    <cellStyle name="40% - Accent1 4 9 2" xfId="1352" xr:uid="{00000000-0005-0000-0000-0000A0030000}"/>
    <cellStyle name="40% - Accent1 4_Australia Results" xfId="6578" xr:uid="{1A49F4F7-C223-47C3-870A-EADB336C5DC1}"/>
    <cellStyle name="40% - Accent1 5" xfId="72" xr:uid="{00000000-0005-0000-0000-0000A2030000}"/>
    <cellStyle name="40% - Accent1 5 2" xfId="1353" xr:uid="{00000000-0005-0000-0000-0000A3030000}"/>
    <cellStyle name="40% - Accent1 5 2 2" xfId="1354" xr:uid="{00000000-0005-0000-0000-0000A4030000}"/>
    <cellStyle name="40% - Accent1 5 2 2 2" xfId="1355" xr:uid="{00000000-0005-0000-0000-0000A5030000}"/>
    <cellStyle name="40% - Accent1 5 2 3" xfId="1356" xr:uid="{00000000-0005-0000-0000-0000A6030000}"/>
    <cellStyle name="40% - Accent1 5 2_Cash flow" xfId="6580" xr:uid="{87AC0357-4B7F-4487-8E85-5557C24E6944}"/>
    <cellStyle name="40% - Accent1 5 3" xfId="1357" xr:uid="{00000000-0005-0000-0000-0000A7030000}"/>
    <cellStyle name="40% - Accent1 5 3 2" xfId="1358" xr:uid="{00000000-0005-0000-0000-0000A8030000}"/>
    <cellStyle name="40% - Accent1 5 4" xfId="1359" xr:uid="{00000000-0005-0000-0000-0000A9030000}"/>
    <cellStyle name="40% - Accent1 5_Cash flow" xfId="6579" xr:uid="{DCE495A9-F67D-44AE-A3D6-467E43CAEA7A}"/>
    <cellStyle name="40% - Accent1 6" xfId="1360" xr:uid="{00000000-0005-0000-0000-0000AB030000}"/>
    <cellStyle name="40% - Accent1 6 2" xfId="1361" xr:uid="{00000000-0005-0000-0000-0000AC030000}"/>
    <cellStyle name="40% - Accent1 6 2 2" xfId="1362" xr:uid="{00000000-0005-0000-0000-0000AD030000}"/>
    <cellStyle name="40% - Accent1 6 2 2 2" xfId="1363" xr:uid="{00000000-0005-0000-0000-0000AE030000}"/>
    <cellStyle name="40% - Accent1 6 2 3" xfId="1364" xr:uid="{00000000-0005-0000-0000-0000AF030000}"/>
    <cellStyle name="40% - Accent1 6 2_Cash flow" xfId="6582" xr:uid="{522AACC5-5ADE-4214-AFB5-221228A6B076}"/>
    <cellStyle name="40% - Accent1 6 3" xfId="1365" xr:uid="{00000000-0005-0000-0000-0000B0030000}"/>
    <cellStyle name="40% - Accent1 6 3 2" xfId="1366" xr:uid="{00000000-0005-0000-0000-0000B1030000}"/>
    <cellStyle name="40% - Accent1 6 4" xfId="1367" xr:uid="{00000000-0005-0000-0000-0000B2030000}"/>
    <cellStyle name="40% - Accent1 6_Cash flow" xfId="6581" xr:uid="{84668766-0168-4191-AEA3-C41290CDFF24}"/>
    <cellStyle name="40% - Accent1 7" xfId="1368" xr:uid="{00000000-0005-0000-0000-0000B4030000}"/>
    <cellStyle name="40% - Accent1 7 2" xfId="1369" xr:uid="{00000000-0005-0000-0000-0000B5030000}"/>
    <cellStyle name="40% - Accent1 7 2 2" xfId="1370" xr:uid="{00000000-0005-0000-0000-0000B6030000}"/>
    <cellStyle name="40% - Accent1 7 3" xfId="1371" xr:uid="{00000000-0005-0000-0000-0000B7030000}"/>
    <cellStyle name="40% - Accent1 7_Cash flow" xfId="6583" xr:uid="{34664BD5-7A4A-4F9B-A7DD-CE59236BF946}"/>
    <cellStyle name="40% - Accent1 8" xfId="1372" xr:uid="{00000000-0005-0000-0000-0000B9030000}"/>
    <cellStyle name="40% - Accent1 9" xfId="1373" xr:uid="{00000000-0005-0000-0000-0000BA030000}"/>
    <cellStyle name="40% - Accent2 10" xfId="1374" xr:uid="{00000000-0005-0000-0000-0000BB030000}"/>
    <cellStyle name="40% - Accent2 11" xfId="1375" xr:uid="{00000000-0005-0000-0000-0000BC030000}"/>
    <cellStyle name="40% - Accent2 12" xfId="1376" xr:uid="{00000000-0005-0000-0000-0000BD030000}"/>
    <cellStyle name="40% - Accent2 13" xfId="1377" xr:uid="{00000000-0005-0000-0000-0000BE030000}"/>
    <cellStyle name="40% - Accent2 14" xfId="6584" xr:uid="{87D347B7-F583-45AD-A723-3A13266E9A90}"/>
    <cellStyle name="40% - Accent2 2" xfId="73" xr:uid="{00000000-0005-0000-0000-0000BF030000}"/>
    <cellStyle name="40% - Accent2 2 10" xfId="1378" xr:uid="{00000000-0005-0000-0000-0000C0030000}"/>
    <cellStyle name="40% - Accent2 2 11" xfId="1379" xr:uid="{00000000-0005-0000-0000-0000C1030000}"/>
    <cellStyle name="40% - Accent2 2 12" xfId="1380" xr:uid="{00000000-0005-0000-0000-0000C2030000}"/>
    <cellStyle name="40% - Accent2 2 13" xfId="1381" xr:uid="{00000000-0005-0000-0000-0000C3030000}"/>
    <cellStyle name="40% - Accent2 2 14" xfId="1382" xr:uid="{00000000-0005-0000-0000-0000C4030000}"/>
    <cellStyle name="40% - Accent2 2 15" xfId="1383" xr:uid="{00000000-0005-0000-0000-0000C5030000}"/>
    <cellStyle name="40% - Accent2 2 16" xfId="1384" xr:uid="{00000000-0005-0000-0000-0000C6030000}"/>
    <cellStyle name="40% - Accent2 2 17" xfId="1385" xr:uid="{00000000-0005-0000-0000-0000C7030000}"/>
    <cellStyle name="40% - Accent2 2 18" xfId="1386" xr:uid="{00000000-0005-0000-0000-0000C8030000}"/>
    <cellStyle name="40% - Accent2 2 2" xfId="1387" xr:uid="{00000000-0005-0000-0000-0000C9030000}"/>
    <cellStyle name="40% - Accent2 2 2 10" xfId="6585" xr:uid="{2900261E-9B53-43F2-8F92-55EF752D31E0}"/>
    <cellStyle name="40% - Accent2 2 2 11" xfId="6586" xr:uid="{3241B978-CF1A-4C1B-A891-3A49898928EA}"/>
    <cellStyle name="40% - Accent2 2 2 12" xfId="6587" xr:uid="{5C0D58D1-BF2C-4FED-A950-B8E5517670AC}"/>
    <cellStyle name="40% - Accent2 2 2 13" xfId="6588" xr:uid="{10B29DD8-A417-40B6-81BF-FB9B3F0A88D6}"/>
    <cellStyle name="40% - Accent2 2 2 14" xfId="6589" xr:uid="{4440BD11-D4AE-403F-A138-4A46A8C539F9}"/>
    <cellStyle name="40% - Accent2 2 2 15" xfId="6590" xr:uid="{19C5ED05-2B69-4A19-BDDA-5F838CFFE288}"/>
    <cellStyle name="40% - Accent2 2 2 16" xfId="6591" xr:uid="{E7010166-DDEA-4F20-8CB9-0D2559F8BA2A}"/>
    <cellStyle name="40% - Accent2 2 2 17" xfId="6592" xr:uid="{2022EC10-E353-452D-BE6C-7907A422DA43}"/>
    <cellStyle name="40% - Accent2 2 2 18" xfId="6593" xr:uid="{4E1F676D-F87B-4B5D-890E-0EF9E60900B7}"/>
    <cellStyle name="40% - Accent2 2 2 19" xfId="6594" xr:uid="{FD181C0A-F3A7-4642-9D5A-773373BEBDF8}"/>
    <cellStyle name="40% - Accent2 2 2 2" xfId="1388" xr:uid="{00000000-0005-0000-0000-0000CA030000}"/>
    <cellStyle name="40% - Accent2 2 2 20" xfId="6595" xr:uid="{4A4F3923-9946-4945-8F4B-E5BFF8B19873}"/>
    <cellStyle name="40% - Accent2 2 2 21" xfId="6596" xr:uid="{4D2C1702-0242-48DB-B4B5-FB11F859CCDC}"/>
    <cellStyle name="40% - Accent2 2 2 22" xfId="6597" xr:uid="{DDF74950-1EC3-4CB4-9F89-B62ECB7EF0E2}"/>
    <cellStyle name="40% - Accent2 2 2 23" xfId="6598" xr:uid="{7DE1EFB2-3773-4509-81B6-3602E5BAB621}"/>
    <cellStyle name="40% - Accent2 2 2 24" xfId="6599" xr:uid="{83FC4C4C-6A83-44C9-A86D-BC7242D90222}"/>
    <cellStyle name="40% - Accent2 2 2 25" xfId="6600" xr:uid="{315D2399-8FFE-497C-9CBD-AE9CC62EC1ED}"/>
    <cellStyle name="40% - Accent2 2 2 26" xfId="6601" xr:uid="{C0583DD7-7513-4A62-AF5A-631B9F8164FA}"/>
    <cellStyle name="40% - Accent2 2 2 3" xfId="1389" xr:uid="{00000000-0005-0000-0000-0000CB030000}"/>
    <cellStyle name="40% - Accent2 2 2 4" xfId="1390" xr:uid="{00000000-0005-0000-0000-0000CC030000}"/>
    <cellStyle name="40% - Accent2 2 2 5" xfId="1391" xr:uid="{00000000-0005-0000-0000-0000CD030000}"/>
    <cellStyle name="40% - Accent2 2 2 6" xfId="1392" xr:uid="{00000000-0005-0000-0000-0000CE030000}"/>
    <cellStyle name="40% - Accent2 2 2 7" xfId="1393" xr:uid="{00000000-0005-0000-0000-0000CF030000}"/>
    <cellStyle name="40% - Accent2 2 2 8" xfId="1394" xr:uid="{00000000-0005-0000-0000-0000D0030000}"/>
    <cellStyle name="40% - Accent2 2 2 9" xfId="6602" xr:uid="{FA49CF0E-4A6A-4C38-BB10-F5F8D9932DC5}"/>
    <cellStyle name="40% - Accent2 2 2_EQU" xfId="1395" xr:uid="{00000000-0005-0000-0000-0000D1030000}"/>
    <cellStyle name="40% - Accent2 2 3" xfId="1396" xr:uid="{00000000-0005-0000-0000-0000D2030000}"/>
    <cellStyle name="40% - Accent2 2 3 10" xfId="1397" xr:uid="{00000000-0005-0000-0000-0000D3030000}"/>
    <cellStyle name="40% - Accent2 2 3 11" xfId="1398" xr:uid="{00000000-0005-0000-0000-0000D4030000}"/>
    <cellStyle name="40% - Accent2 2 3 12" xfId="1399" xr:uid="{00000000-0005-0000-0000-0000D5030000}"/>
    <cellStyle name="40% - Accent2 2 3 13" xfId="1400" xr:uid="{00000000-0005-0000-0000-0000D6030000}"/>
    <cellStyle name="40% - Accent2 2 3 14" xfId="1401" xr:uid="{00000000-0005-0000-0000-0000D7030000}"/>
    <cellStyle name="40% - Accent2 2 3 15" xfId="1402" xr:uid="{00000000-0005-0000-0000-0000D8030000}"/>
    <cellStyle name="40% - Accent2 2 3 16" xfId="1403" xr:uid="{00000000-0005-0000-0000-0000D9030000}"/>
    <cellStyle name="40% - Accent2 2 3 17" xfId="1404" xr:uid="{00000000-0005-0000-0000-0000DA030000}"/>
    <cellStyle name="40% - Accent2 2 3 18" xfId="1405" xr:uid="{00000000-0005-0000-0000-0000DB030000}"/>
    <cellStyle name="40% - Accent2 2 3 2" xfId="1406" xr:uid="{00000000-0005-0000-0000-0000DC030000}"/>
    <cellStyle name="40% - Accent2 2 3 2 10" xfId="1407" xr:uid="{00000000-0005-0000-0000-0000DD030000}"/>
    <cellStyle name="40% - Accent2 2 3 2 11" xfId="1408" xr:uid="{00000000-0005-0000-0000-0000DE030000}"/>
    <cellStyle name="40% - Accent2 2 3 2 12" xfId="1409" xr:uid="{00000000-0005-0000-0000-0000DF030000}"/>
    <cellStyle name="40% - Accent2 2 3 2 2" xfId="1410" xr:uid="{00000000-0005-0000-0000-0000E0030000}"/>
    <cellStyle name="40% - Accent2 2 3 2 3" xfId="1411" xr:uid="{00000000-0005-0000-0000-0000E1030000}"/>
    <cellStyle name="40% - Accent2 2 3 2 4" xfId="1412" xr:uid="{00000000-0005-0000-0000-0000E2030000}"/>
    <cellStyle name="40% - Accent2 2 3 2 5" xfId="1413" xr:uid="{00000000-0005-0000-0000-0000E3030000}"/>
    <cellStyle name="40% - Accent2 2 3 2 6" xfId="1414" xr:uid="{00000000-0005-0000-0000-0000E4030000}"/>
    <cellStyle name="40% - Accent2 2 3 2 7" xfId="1415" xr:uid="{00000000-0005-0000-0000-0000E5030000}"/>
    <cellStyle name="40% - Accent2 2 3 2 8" xfId="1416" xr:uid="{00000000-0005-0000-0000-0000E6030000}"/>
    <cellStyle name="40% - Accent2 2 3 2 9" xfId="1417" xr:uid="{00000000-0005-0000-0000-0000E7030000}"/>
    <cellStyle name="40% - Accent2 2 3 3" xfId="1418" xr:uid="{00000000-0005-0000-0000-0000E8030000}"/>
    <cellStyle name="40% - Accent2 2 3 4" xfId="1419" xr:uid="{00000000-0005-0000-0000-0000E9030000}"/>
    <cellStyle name="40% - Accent2 2 3 5" xfId="1420" xr:uid="{00000000-0005-0000-0000-0000EA030000}"/>
    <cellStyle name="40% - Accent2 2 3 6" xfId="1421" xr:uid="{00000000-0005-0000-0000-0000EB030000}"/>
    <cellStyle name="40% - Accent2 2 3 7" xfId="1422" xr:uid="{00000000-0005-0000-0000-0000EC030000}"/>
    <cellStyle name="40% - Accent2 2 3 8" xfId="1423" xr:uid="{00000000-0005-0000-0000-0000ED030000}"/>
    <cellStyle name="40% - Accent2 2 3 9" xfId="1424" xr:uid="{00000000-0005-0000-0000-0000EE030000}"/>
    <cellStyle name="40% - Accent2 2 3_Derivatives" xfId="1425" xr:uid="{00000000-0005-0000-0000-0000EF030000}"/>
    <cellStyle name="40% - Accent2 2 4" xfId="1426" xr:uid="{00000000-0005-0000-0000-0000F0030000}"/>
    <cellStyle name="40% - Accent2 2 5" xfId="1427" xr:uid="{00000000-0005-0000-0000-0000F1030000}"/>
    <cellStyle name="40% - Accent2 2 6" xfId="1428" xr:uid="{00000000-0005-0000-0000-0000F2030000}"/>
    <cellStyle name="40% - Accent2 2 7" xfId="1429" xr:uid="{00000000-0005-0000-0000-0000F3030000}"/>
    <cellStyle name="40% - Accent2 2 8" xfId="1430" xr:uid="{00000000-0005-0000-0000-0000F4030000}"/>
    <cellStyle name="40% - Accent2 2 9" xfId="1431" xr:uid="{00000000-0005-0000-0000-0000F5030000}"/>
    <cellStyle name="40% - Accent2 2_5130_new" xfId="1432" xr:uid="{00000000-0005-0000-0000-0000F6030000}"/>
    <cellStyle name="40% - Accent2 3" xfId="74" xr:uid="{00000000-0005-0000-0000-0000F7030000}"/>
    <cellStyle name="40% - Accent2 3 10" xfId="6603" xr:uid="{5B9728C4-ACC7-4788-B586-49B4305FFF5F}"/>
    <cellStyle name="40% - Accent2 3 11" xfId="6604" xr:uid="{79FF04E5-6E3D-4F6F-93D0-46C8DBC30928}"/>
    <cellStyle name="40% - Accent2 3 12" xfId="6605" xr:uid="{4F15C717-F91D-4397-96C1-E866D6A18199}"/>
    <cellStyle name="40% - Accent2 3 13" xfId="6606" xr:uid="{C02E8ED8-9DF7-4EB3-87CE-9EF24E720E67}"/>
    <cellStyle name="40% - Accent2 3 14" xfId="6607" xr:uid="{CDFFC303-F664-412C-A7DD-13DEB8BB6782}"/>
    <cellStyle name="40% - Accent2 3 15" xfId="6608" xr:uid="{ADB84F43-0315-4A20-9AC1-9A8706B8C14A}"/>
    <cellStyle name="40% - Accent2 3 16" xfId="6609" xr:uid="{A41B934A-F39D-48F4-9114-A5C99848C9ED}"/>
    <cellStyle name="40% - Accent2 3 17" xfId="6610" xr:uid="{4AB383C4-7DE7-4EFF-AB3F-791A83A0FE91}"/>
    <cellStyle name="40% - Accent2 3 18" xfId="6611" xr:uid="{2FC21BA9-40F9-4CD8-BB1B-9AE90E7F06BE}"/>
    <cellStyle name="40% - Accent2 3 19" xfId="6612" xr:uid="{5765A662-8EE9-4DB1-8DD4-85687D9B877A}"/>
    <cellStyle name="40% - Accent2 3 2" xfId="1433" xr:uid="{00000000-0005-0000-0000-0000F8030000}"/>
    <cellStyle name="40% - Accent2 3 20" xfId="6613" xr:uid="{3657C083-46DE-476D-A4D1-6A113D3FBF7E}"/>
    <cellStyle name="40% - Accent2 3 21" xfId="6614" xr:uid="{FE9D738F-1746-4AB7-99DC-1B915A259FF5}"/>
    <cellStyle name="40% - Accent2 3 22" xfId="6615" xr:uid="{78871D1F-270C-4291-9518-589C1405E0EE}"/>
    <cellStyle name="40% - Accent2 3 23" xfId="6616" xr:uid="{1B00D0E0-4B43-4FDF-81BD-2B562315E7F2}"/>
    <cellStyle name="40% - Accent2 3 24" xfId="6617" xr:uid="{AEC71898-95B7-48DC-AE83-BD4FB52121BE}"/>
    <cellStyle name="40% - Accent2 3 25" xfId="6618" xr:uid="{A080471C-91B3-4F8C-810F-90C463A867E2}"/>
    <cellStyle name="40% - Accent2 3 26" xfId="6619" xr:uid="{8330CDC5-57B5-433E-B53C-7705FA55EAA3}"/>
    <cellStyle name="40% - Accent2 3 3" xfId="1434" xr:uid="{00000000-0005-0000-0000-0000F9030000}"/>
    <cellStyle name="40% - Accent2 3 4" xfId="1435" xr:uid="{00000000-0005-0000-0000-0000FA030000}"/>
    <cellStyle name="40% - Accent2 3 5" xfId="1436" xr:uid="{00000000-0005-0000-0000-0000FB030000}"/>
    <cellStyle name="40% - Accent2 3 6" xfId="1437" xr:uid="{00000000-0005-0000-0000-0000FC030000}"/>
    <cellStyle name="40% - Accent2 3 7" xfId="1438" xr:uid="{00000000-0005-0000-0000-0000FD030000}"/>
    <cellStyle name="40% - Accent2 3 8" xfId="1439" xr:uid="{00000000-0005-0000-0000-0000FE030000}"/>
    <cellStyle name="40% - Accent2 3 9" xfId="1440" xr:uid="{00000000-0005-0000-0000-0000FF030000}"/>
    <cellStyle name="40% - Accent2 3_Australia Results" xfId="6620" xr:uid="{9D739F67-DF65-4A9D-AE31-B3D020FC4A80}"/>
    <cellStyle name="40% - Accent2 4" xfId="75" xr:uid="{00000000-0005-0000-0000-000001040000}"/>
    <cellStyle name="40% - Accent2 4 2" xfId="1441" xr:uid="{00000000-0005-0000-0000-000002040000}"/>
    <cellStyle name="40% - Accent2 4 3" xfId="1442" xr:uid="{00000000-0005-0000-0000-000003040000}"/>
    <cellStyle name="40% - Accent2 4 4" xfId="1443" xr:uid="{00000000-0005-0000-0000-000004040000}"/>
    <cellStyle name="40% - Accent2 4 5" xfId="1444" xr:uid="{00000000-0005-0000-0000-000005040000}"/>
    <cellStyle name="40% - Accent2 4 6" xfId="1445" xr:uid="{00000000-0005-0000-0000-000006040000}"/>
    <cellStyle name="40% - Accent2 4 7" xfId="1446" xr:uid="{00000000-0005-0000-0000-000007040000}"/>
    <cellStyle name="40% - Accent2 4 8" xfId="1447" xr:uid="{00000000-0005-0000-0000-000008040000}"/>
    <cellStyle name="40% - Accent2 4 9" xfId="1448" xr:uid="{00000000-0005-0000-0000-000009040000}"/>
    <cellStyle name="40% - Accent2 4_Australia Results" xfId="6621" xr:uid="{9983E09E-FF70-4D08-AB87-AFDD1BC5D9A1}"/>
    <cellStyle name="40% - Accent2 5" xfId="76" xr:uid="{00000000-0005-0000-0000-00000B040000}"/>
    <cellStyle name="40% - Accent2 5 2" xfId="1449" xr:uid="{00000000-0005-0000-0000-00000C040000}"/>
    <cellStyle name="40% - Accent2 5_Cash flow" xfId="6622" xr:uid="{6E4C562B-07E3-4C74-92A6-AFD89FFD25E1}"/>
    <cellStyle name="40% - Accent2 6" xfId="1450" xr:uid="{00000000-0005-0000-0000-00000E040000}"/>
    <cellStyle name="40% - Accent2 6 2" xfId="1451" xr:uid="{00000000-0005-0000-0000-00000F040000}"/>
    <cellStyle name="40% - Accent2 6_Cash flow" xfId="6623" xr:uid="{1DE08141-7E3C-43C9-9868-E50ED232D134}"/>
    <cellStyle name="40% - Accent2 7" xfId="1452" xr:uid="{00000000-0005-0000-0000-000011040000}"/>
    <cellStyle name="40% - Accent2 8" xfId="1453" xr:uid="{00000000-0005-0000-0000-000012040000}"/>
    <cellStyle name="40% - Accent2 9" xfId="1454" xr:uid="{00000000-0005-0000-0000-000013040000}"/>
    <cellStyle name="40% - Accent3 10" xfId="1455" xr:uid="{00000000-0005-0000-0000-000014040000}"/>
    <cellStyle name="40% - Accent3 11" xfId="1456" xr:uid="{00000000-0005-0000-0000-000015040000}"/>
    <cellStyle name="40% - Accent3 12" xfId="1457" xr:uid="{00000000-0005-0000-0000-000016040000}"/>
    <cellStyle name="40% - Accent3 13" xfId="1458" xr:uid="{00000000-0005-0000-0000-000017040000}"/>
    <cellStyle name="40% - Accent3 14" xfId="6624" xr:uid="{6143A194-99B1-4942-82AD-79A0F7A8F904}"/>
    <cellStyle name="40% - Accent3 2" xfId="77" xr:uid="{00000000-0005-0000-0000-000018040000}"/>
    <cellStyle name="40% - Accent3 2 10" xfId="1459" xr:uid="{00000000-0005-0000-0000-000019040000}"/>
    <cellStyle name="40% - Accent3 2 10 2" xfId="1460" xr:uid="{00000000-0005-0000-0000-00001A040000}"/>
    <cellStyle name="40% - Accent3 2 10 2 2" xfId="1461" xr:uid="{00000000-0005-0000-0000-00001B040000}"/>
    <cellStyle name="40% - Accent3 2 10 3" xfId="1462" xr:uid="{00000000-0005-0000-0000-00001C040000}"/>
    <cellStyle name="40% - Accent3 2 11" xfId="1463" xr:uid="{00000000-0005-0000-0000-00001D040000}"/>
    <cellStyle name="40% - Accent3 2 11 2" xfId="1464" xr:uid="{00000000-0005-0000-0000-00001E040000}"/>
    <cellStyle name="40% - Accent3 2 11 2 2" xfId="1465" xr:uid="{00000000-0005-0000-0000-00001F040000}"/>
    <cellStyle name="40% - Accent3 2 11 3" xfId="1466" xr:uid="{00000000-0005-0000-0000-000020040000}"/>
    <cellStyle name="40% - Accent3 2 12" xfId="1467" xr:uid="{00000000-0005-0000-0000-000021040000}"/>
    <cellStyle name="40% - Accent3 2 12 2" xfId="1468" xr:uid="{00000000-0005-0000-0000-000022040000}"/>
    <cellStyle name="40% - Accent3 2 12 2 2" xfId="1469" xr:uid="{00000000-0005-0000-0000-000023040000}"/>
    <cellStyle name="40% - Accent3 2 12 3" xfId="1470" xr:uid="{00000000-0005-0000-0000-000024040000}"/>
    <cellStyle name="40% - Accent3 2 13" xfId="1471" xr:uid="{00000000-0005-0000-0000-000025040000}"/>
    <cellStyle name="40% - Accent3 2 13 2" xfId="1472" xr:uid="{00000000-0005-0000-0000-000026040000}"/>
    <cellStyle name="40% - Accent3 2 13 2 2" xfId="1473" xr:uid="{00000000-0005-0000-0000-000027040000}"/>
    <cellStyle name="40% - Accent3 2 13 3" xfId="1474" xr:uid="{00000000-0005-0000-0000-000028040000}"/>
    <cellStyle name="40% - Accent3 2 14" xfId="1475" xr:uid="{00000000-0005-0000-0000-000029040000}"/>
    <cellStyle name="40% - Accent3 2 15" xfId="1476" xr:uid="{00000000-0005-0000-0000-00002A040000}"/>
    <cellStyle name="40% - Accent3 2 16" xfId="1477" xr:uid="{00000000-0005-0000-0000-00002B040000}"/>
    <cellStyle name="40% - Accent3 2 17" xfId="1478" xr:uid="{00000000-0005-0000-0000-00002C040000}"/>
    <cellStyle name="40% - Accent3 2 18" xfId="1479" xr:uid="{00000000-0005-0000-0000-00002D040000}"/>
    <cellStyle name="40% - Accent3 2 19" xfId="1480" xr:uid="{00000000-0005-0000-0000-00002E040000}"/>
    <cellStyle name="40% - Accent3 2 19 2" xfId="1481" xr:uid="{00000000-0005-0000-0000-00002F040000}"/>
    <cellStyle name="40% - Accent3 2 2" xfId="1482" xr:uid="{00000000-0005-0000-0000-000030040000}"/>
    <cellStyle name="40% - Accent3 2 2 10" xfId="6626" xr:uid="{C235A971-7127-462C-8D1E-161BA33463A6}"/>
    <cellStyle name="40% - Accent3 2 2 11" xfId="6627" xr:uid="{88470AE7-C027-4683-89A7-C9F4241D1ACE}"/>
    <cellStyle name="40% - Accent3 2 2 12" xfId="6628" xr:uid="{6FF53A33-861C-4CD7-88E6-DC9006D4D370}"/>
    <cellStyle name="40% - Accent3 2 2 13" xfId="6629" xr:uid="{8CC6802B-E4D9-444C-80C1-0101E8E67738}"/>
    <cellStyle name="40% - Accent3 2 2 14" xfId="6630" xr:uid="{77CB5254-61A8-4349-9620-964775E29F79}"/>
    <cellStyle name="40% - Accent3 2 2 15" xfId="6631" xr:uid="{2FFBC4CD-7BF5-4D7B-9739-E71F093FFB58}"/>
    <cellStyle name="40% - Accent3 2 2 16" xfId="6632" xr:uid="{EE88A183-B2B4-47DF-B536-409FE89949C3}"/>
    <cellStyle name="40% - Accent3 2 2 17" xfId="6633" xr:uid="{19C7DEA7-4EE8-404F-8409-567EDF5A79A6}"/>
    <cellStyle name="40% - Accent3 2 2 18" xfId="6634" xr:uid="{B5A7ADB6-EFD9-495B-9F04-BBFD7AAA104B}"/>
    <cellStyle name="40% - Accent3 2 2 19" xfId="6635" xr:uid="{A7E7D372-3B06-429F-AEF6-F433B1A2580C}"/>
    <cellStyle name="40% - Accent3 2 2 2" xfId="1483" xr:uid="{00000000-0005-0000-0000-000031040000}"/>
    <cellStyle name="40% - Accent3 2 2 20" xfId="6636" xr:uid="{6DCE17F6-E37C-4EB9-B631-C579FF41C2CD}"/>
    <cellStyle name="40% - Accent3 2 2 21" xfId="6637" xr:uid="{5223551D-05A7-4FA0-A411-D7F1095290A3}"/>
    <cellStyle name="40% - Accent3 2 2 22" xfId="6638" xr:uid="{9FE37521-EBC3-4F8B-B798-4E49E5D7803C}"/>
    <cellStyle name="40% - Accent3 2 2 23" xfId="6639" xr:uid="{1DA9C0FB-DFDE-4FF4-A8CA-9EC985D3DD2B}"/>
    <cellStyle name="40% - Accent3 2 2 24" xfId="6640" xr:uid="{D36AA666-C83C-4F6C-86AE-3044F3B363E3}"/>
    <cellStyle name="40% - Accent3 2 2 25" xfId="6641" xr:uid="{2CB02920-C833-492E-AF32-6ADD6B4E7839}"/>
    <cellStyle name="40% - Accent3 2 2 26" xfId="6642" xr:uid="{30492CE2-1282-4683-B846-D8981EADD5F2}"/>
    <cellStyle name="40% - Accent3 2 2 3" xfId="1484" xr:uid="{00000000-0005-0000-0000-000032040000}"/>
    <cellStyle name="40% - Accent3 2 2 4" xfId="1485" xr:uid="{00000000-0005-0000-0000-000033040000}"/>
    <cellStyle name="40% - Accent3 2 2 5" xfId="1486" xr:uid="{00000000-0005-0000-0000-000034040000}"/>
    <cellStyle name="40% - Accent3 2 2 6" xfId="1487" xr:uid="{00000000-0005-0000-0000-000035040000}"/>
    <cellStyle name="40% - Accent3 2 2 7" xfId="1488" xr:uid="{00000000-0005-0000-0000-000036040000}"/>
    <cellStyle name="40% - Accent3 2 2 8" xfId="1489" xr:uid="{00000000-0005-0000-0000-000037040000}"/>
    <cellStyle name="40% - Accent3 2 2 8 2" xfId="1490" xr:uid="{00000000-0005-0000-0000-000038040000}"/>
    <cellStyle name="40% - Accent3 2 2 8_Cash flow" xfId="6643" xr:uid="{295932B5-5CA1-4313-AB87-1DDA5DBCE9B1}"/>
    <cellStyle name="40% - Accent3 2 2 9" xfId="1491" xr:uid="{00000000-0005-0000-0000-000039040000}"/>
    <cellStyle name="40% - Accent3 2 2_Cash flow" xfId="6625" xr:uid="{AFC916F4-9FB0-4CA3-9E4E-83A8B822770C}"/>
    <cellStyle name="40% - Accent3 2 3" xfId="1492" xr:uid="{00000000-0005-0000-0000-00003B040000}"/>
    <cellStyle name="40% - Accent3 2 3 10" xfId="1493" xr:uid="{00000000-0005-0000-0000-00003C040000}"/>
    <cellStyle name="40% - Accent3 2 3 11" xfId="1494" xr:uid="{00000000-0005-0000-0000-00003D040000}"/>
    <cellStyle name="40% - Accent3 2 3 12" xfId="1495" xr:uid="{00000000-0005-0000-0000-00003E040000}"/>
    <cellStyle name="40% - Accent3 2 3 13" xfId="1496" xr:uid="{00000000-0005-0000-0000-00003F040000}"/>
    <cellStyle name="40% - Accent3 2 3 14" xfId="1497" xr:uid="{00000000-0005-0000-0000-000040040000}"/>
    <cellStyle name="40% - Accent3 2 3 15" xfId="1498" xr:uid="{00000000-0005-0000-0000-000041040000}"/>
    <cellStyle name="40% - Accent3 2 3 16" xfId="1499" xr:uid="{00000000-0005-0000-0000-000042040000}"/>
    <cellStyle name="40% - Accent3 2 3 17" xfId="1500" xr:uid="{00000000-0005-0000-0000-000043040000}"/>
    <cellStyle name="40% - Accent3 2 3 18" xfId="1501" xr:uid="{00000000-0005-0000-0000-000044040000}"/>
    <cellStyle name="40% - Accent3 2 3 18 2" xfId="1502" xr:uid="{00000000-0005-0000-0000-000045040000}"/>
    <cellStyle name="40% - Accent3 2 3 19" xfId="1503" xr:uid="{00000000-0005-0000-0000-000046040000}"/>
    <cellStyle name="40% - Accent3 2 3 2" xfId="1504" xr:uid="{00000000-0005-0000-0000-000047040000}"/>
    <cellStyle name="40% - Accent3 2 3 2 10" xfId="1505" xr:uid="{00000000-0005-0000-0000-000048040000}"/>
    <cellStyle name="40% - Accent3 2 3 2 11" xfId="1506" xr:uid="{00000000-0005-0000-0000-000049040000}"/>
    <cellStyle name="40% - Accent3 2 3 2 12" xfId="1507" xr:uid="{00000000-0005-0000-0000-00004A040000}"/>
    <cellStyle name="40% - Accent3 2 3 2 2" xfId="1508" xr:uid="{00000000-0005-0000-0000-00004B040000}"/>
    <cellStyle name="40% - Accent3 2 3 2 3" xfId="1509" xr:uid="{00000000-0005-0000-0000-00004C040000}"/>
    <cellStyle name="40% - Accent3 2 3 2 4" xfId="1510" xr:uid="{00000000-0005-0000-0000-00004D040000}"/>
    <cellStyle name="40% - Accent3 2 3 2 5" xfId="1511" xr:uid="{00000000-0005-0000-0000-00004E040000}"/>
    <cellStyle name="40% - Accent3 2 3 2 6" xfId="1512" xr:uid="{00000000-0005-0000-0000-00004F040000}"/>
    <cellStyle name="40% - Accent3 2 3 2 7" xfId="1513" xr:uid="{00000000-0005-0000-0000-000050040000}"/>
    <cellStyle name="40% - Accent3 2 3 2 8" xfId="1514" xr:uid="{00000000-0005-0000-0000-000051040000}"/>
    <cellStyle name="40% - Accent3 2 3 2 9" xfId="1515" xr:uid="{00000000-0005-0000-0000-000052040000}"/>
    <cellStyle name="40% - Accent3 2 3 3" xfId="1516" xr:uid="{00000000-0005-0000-0000-000053040000}"/>
    <cellStyle name="40% - Accent3 2 3 4" xfId="1517" xr:uid="{00000000-0005-0000-0000-000054040000}"/>
    <cellStyle name="40% - Accent3 2 3 5" xfId="1518" xr:uid="{00000000-0005-0000-0000-000055040000}"/>
    <cellStyle name="40% - Accent3 2 3 6" xfId="1519" xr:uid="{00000000-0005-0000-0000-000056040000}"/>
    <cellStyle name="40% - Accent3 2 3 7" xfId="1520" xr:uid="{00000000-0005-0000-0000-000057040000}"/>
    <cellStyle name="40% - Accent3 2 3 8" xfId="1521" xr:uid="{00000000-0005-0000-0000-000058040000}"/>
    <cellStyle name="40% - Accent3 2 3 9" xfId="1522" xr:uid="{00000000-0005-0000-0000-000059040000}"/>
    <cellStyle name="40% - Accent3 2 3_Derivatives" xfId="1523" xr:uid="{00000000-0005-0000-0000-00005A040000}"/>
    <cellStyle name="40% - Accent3 2 4" xfId="1524" xr:uid="{00000000-0005-0000-0000-00005B040000}"/>
    <cellStyle name="40% - Accent3 2 4 2" xfId="1525" xr:uid="{00000000-0005-0000-0000-00005C040000}"/>
    <cellStyle name="40% - Accent3 2 4 2 2" xfId="1526" xr:uid="{00000000-0005-0000-0000-00005D040000}"/>
    <cellStyle name="40% - Accent3 2 4 3" xfId="1527" xr:uid="{00000000-0005-0000-0000-00005E040000}"/>
    <cellStyle name="40% - Accent3 2 4_EQU" xfId="1528" xr:uid="{00000000-0005-0000-0000-00005F040000}"/>
    <cellStyle name="40% - Accent3 2 5" xfId="1529" xr:uid="{00000000-0005-0000-0000-000060040000}"/>
    <cellStyle name="40% - Accent3 2 5 2" xfId="1530" xr:uid="{00000000-0005-0000-0000-000061040000}"/>
    <cellStyle name="40% - Accent3 2 5 2 2" xfId="1531" xr:uid="{00000000-0005-0000-0000-000062040000}"/>
    <cellStyle name="40% - Accent3 2 5 3" xfId="1532" xr:uid="{00000000-0005-0000-0000-000063040000}"/>
    <cellStyle name="40% - Accent3 2 5_Derivatives" xfId="1533" xr:uid="{00000000-0005-0000-0000-000064040000}"/>
    <cellStyle name="40% - Accent3 2 6" xfId="1534" xr:uid="{00000000-0005-0000-0000-000065040000}"/>
    <cellStyle name="40% - Accent3 2 6 2" xfId="1535" xr:uid="{00000000-0005-0000-0000-000066040000}"/>
    <cellStyle name="40% - Accent3 2 6 2 2" xfId="1536" xr:uid="{00000000-0005-0000-0000-000067040000}"/>
    <cellStyle name="40% - Accent3 2 6 3" xfId="1537" xr:uid="{00000000-0005-0000-0000-000068040000}"/>
    <cellStyle name="40% - Accent3 2 6_Derivatives" xfId="1538" xr:uid="{00000000-0005-0000-0000-000069040000}"/>
    <cellStyle name="40% - Accent3 2 7" xfId="1539" xr:uid="{00000000-0005-0000-0000-00006A040000}"/>
    <cellStyle name="40% - Accent3 2 7 2" xfId="1540" xr:uid="{00000000-0005-0000-0000-00006B040000}"/>
    <cellStyle name="40% - Accent3 2 7 2 2" xfId="1541" xr:uid="{00000000-0005-0000-0000-00006C040000}"/>
    <cellStyle name="40% - Accent3 2 7 3" xfId="1542" xr:uid="{00000000-0005-0000-0000-00006D040000}"/>
    <cellStyle name="40% - Accent3 2 7_Derivatives" xfId="1543" xr:uid="{00000000-0005-0000-0000-00006E040000}"/>
    <cellStyle name="40% - Accent3 2 8" xfId="1544" xr:uid="{00000000-0005-0000-0000-00006F040000}"/>
    <cellStyle name="40% - Accent3 2 8 2" xfId="1545" xr:uid="{00000000-0005-0000-0000-000070040000}"/>
    <cellStyle name="40% - Accent3 2 8 2 2" xfId="1546" xr:uid="{00000000-0005-0000-0000-000071040000}"/>
    <cellStyle name="40% - Accent3 2 8 3" xfId="1547" xr:uid="{00000000-0005-0000-0000-000072040000}"/>
    <cellStyle name="40% - Accent3 2 8_Derivatives" xfId="1548" xr:uid="{00000000-0005-0000-0000-000073040000}"/>
    <cellStyle name="40% - Accent3 2 9" xfId="1549" xr:uid="{00000000-0005-0000-0000-000074040000}"/>
    <cellStyle name="40% - Accent3 2 9 2" xfId="1550" xr:uid="{00000000-0005-0000-0000-000075040000}"/>
    <cellStyle name="40% - Accent3 2 9 2 2" xfId="1551" xr:uid="{00000000-0005-0000-0000-000076040000}"/>
    <cellStyle name="40% - Accent3 2 9 3" xfId="1552" xr:uid="{00000000-0005-0000-0000-000077040000}"/>
    <cellStyle name="40% - Accent3 2_5130_new" xfId="1553" xr:uid="{00000000-0005-0000-0000-000078040000}"/>
    <cellStyle name="40% - Accent3 3" xfId="78" xr:uid="{00000000-0005-0000-0000-000079040000}"/>
    <cellStyle name="40% - Accent3 3 10" xfId="1554" xr:uid="{00000000-0005-0000-0000-00007A040000}"/>
    <cellStyle name="40% - Accent3 3 11" xfId="6644" xr:uid="{66C6DC41-CBE5-4365-9112-5296C0ABBA11}"/>
    <cellStyle name="40% - Accent3 3 12" xfId="6645" xr:uid="{5DA83097-10DF-48E5-BFFF-6E117B0CA6FF}"/>
    <cellStyle name="40% - Accent3 3 13" xfId="6646" xr:uid="{689FFFA2-5148-4464-9192-6DD1C55FCF88}"/>
    <cellStyle name="40% - Accent3 3 14" xfId="6647" xr:uid="{F127A3DF-1941-4680-B2E8-F3B2DAEC4F50}"/>
    <cellStyle name="40% - Accent3 3 15" xfId="6648" xr:uid="{757CE45A-045A-44F0-94D3-1BE18CE4F787}"/>
    <cellStyle name="40% - Accent3 3 16" xfId="6649" xr:uid="{23AEEC58-F8C4-4087-ABB3-E77D63FBE134}"/>
    <cellStyle name="40% - Accent3 3 17" xfId="6650" xr:uid="{6AEADEE9-605D-40C9-B2C5-572554301BB9}"/>
    <cellStyle name="40% - Accent3 3 18" xfId="6651" xr:uid="{595F6579-DC0C-41D7-AA41-2709ADCA836E}"/>
    <cellStyle name="40% - Accent3 3 19" xfId="6652" xr:uid="{31620761-B7ED-4920-9C6B-F74EBD83F5A1}"/>
    <cellStyle name="40% - Accent3 3 2" xfId="1555" xr:uid="{00000000-0005-0000-0000-00007B040000}"/>
    <cellStyle name="40% - Accent3 3 2 2" xfId="1556" xr:uid="{00000000-0005-0000-0000-00007C040000}"/>
    <cellStyle name="40% - Accent3 3 2 2 2" xfId="1557" xr:uid="{00000000-0005-0000-0000-00007D040000}"/>
    <cellStyle name="40% - Accent3 3 2 3" xfId="1558" xr:uid="{00000000-0005-0000-0000-00007E040000}"/>
    <cellStyle name="40% - Accent3 3 2_Cash flow" xfId="6653" xr:uid="{7E629A95-12D4-470A-BB09-D5DC04734A3A}"/>
    <cellStyle name="40% - Accent3 3 20" xfId="6654" xr:uid="{DFDAD85D-75B1-46F5-BA4D-3B76C8A571D9}"/>
    <cellStyle name="40% - Accent3 3 21" xfId="6655" xr:uid="{9B0A1977-65A2-4323-B405-8A4465326502}"/>
    <cellStyle name="40% - Accent3 3 22" xfId="6656" xr:uid="{50B2B6C2-4D0D-4B25-A92F-E3E5CB18925F}"/>
    <cellStyle name="40% - Accent3 3 23" xfId="6657" xr:uid="{1C8038E3-E817-4872-A3D5-B000DA8284BC}"/>
    <cellStyle name="40% - Accent3 3 24" xfId="6658" xr:uid="{51D868C4-38FF-40C5-8A19-78918791D8C4}"/>
    <cellStyle name="40% - Accent3 3 25" xfId="6659" xr:uid="{33BF8CDE-899D-431A-A1D1-D0C79601DBC3}"/>
    <cellStyle name="40% - Accent3 3 26" xfId="6660" xr:uid="{C900CF1E-D5CE-4AB5-894D-0FBD50687BCD}"/>
    <cellStyle name="40% - Accent3 3 3" xfId="1559" xr:uid="{00000000-0005-0000-0000-000080040000}"/>
    <cellStyle name="40% - Accent3 3 4" xfId="1560" xr:uid="{00000000-0005-0000-0000-000081040000}"/>
    <cellStyle name="40% - Accent3 3 5" xfId="1561" xr:uid="{00000000-0005-0000-0000-000082040000}"/>
    <cellStyle name="40% - Accent3 3 6" xfId="1562" xr:uid="{00000000-0005-0000-0000-000083040000}"/>
    <cellStyle name="40% - Accent3 3 7" xfId="1563" xr:uid="{00000000-0005-0000-0000-000084040000}"/>
    <cellStyle name="40% - Accent3 3 8" xfId="1564" xr:uid="{00000000-0005-0000-0000-000085040000}"/>
    <cellStyle name="40% - Accent3 3 9" xfId="1565" xr:uid="{00000000-0005-0000-0000-000086040000}"/>
    <cellStyle name="40% - Accent3 3 9 2" xfId="1566" xr:uid="{00000000-0005-0000-0000-000087040000}"/>
    <cellStyle name="40% - Accent3 3 9_Cash flow" xfId="6661" xr:uid="{AA6A38CE-10A9-4029-9540-136DCF18BAA0}"/>
    <cellStyle name="40% - Accent3 3_Australia Results" xfId="6662" xr:uid="{722B6ED7-C328-4CD1-B4FD-BC723C959042}"/>
    <cellStyle name="40% - Accent3 4" xfId="79" xr:uid="{00000000-0005-0000-0000-000089040000}"/>
    <cellStyle name="40% - Accent3 4 10" xfId="1567" xr:uid="{00000000-0005-0000-0000-00008A040000}"/>
    <cellStyle name="40% - Accent3 4 2" xfId="1568" xr:uid="{00000000-0005-0000-0000-00008B040000}"/>
    <cellStyle name="40% - Accent3 4 2 2" xfId="1569" xr:uid="{00000000-0005-0000-0000-00008C040000}"/>
    <cellStyle name="40% - Accent3 4 2 2 2" xfId="1570" xr:uid="{00000000-0005-0000-0000-00008D040000}"/>
    <cellStyle name="40% - Accent3 4 2 3" xfId="1571" xr:uid="{00000000-0005-0000-0000-00008E040000}"/>
    <cellStyle name="40% - Accent3 4 2_EQU" xfId="1572" xr:uid="{00000000-0005-0000-0000-00008F040000}"/>
    <cellStyle name="40% - Accent3 4 3" xfId="1573" xr:uid="{00000000-0005-0000-0000-000090040000}"/>
    <cellStyle name="40% - Accent3 4 4" xfId="1574" xr:uid="{00000000-0005-0000-0000-000091040000}"/>
    <cellStyle name="40% - Accent3 4 5" xfId="1575" xr:uid="{00000000-0005-0000-0000-000092040000}"/>
    <cellStyle name="40% - Accent3 4 6" xfId="1576" xr:uid="{00000000-0005-0000-0000-000093040000}"/>
    <cellStyle name="40% - Accent3 4 7" xfId="1577" xr:uid="{00000000-0005-0000-0000-000094040000}"/>
    <cellStyle name="40% - Accent3 4 8" xfId="1578" xr:uid="{00000000-0005-0000-0000-000095040000}"/>
    <cellStyle name="40% - Accent3 4 9" xfId="1579" xr:uid="{00000000-0005-0000-0000-000096040000}"/>
    <cellStyle name="40% - Accent3 4 9 2" xfId="1580" xr:uid="{00000000-0005-0000-0000-000097040000}"/>
    <cellStyle name="40% - Accent3 4_Australia Results" xfId="6663" xr:uid="{C67E4975-40EB-444B-8A88-51D3C90E3388}"/>
    <cellStyle name="40% - Accent3 5" xfId="80" xr:uid="{00000000-0005-0000-0000-000099040000}"/>
    <cellStyle name="40% - Accent3 5 2" xfId="1581" xr:uid="{00000000-0005-0000-0000-00009A040000}"/>
    <cellStyle name="40% - Accent3 5 2 2" xfId="1582" xr:uid="{00000000-0005-0000-0000-00009B040000}"/>
    <cellStyle name="40% - Accent3 5 2 2 2" xfId="1583" xr:uid="{00000000-0005-0000-0000-00009C040000}"/>
    <cellStyle name="40% - Accent3 5 2 3" xfId="1584" xr:uid="{00000000-0005-0000-0000-00009D040000}"/>
    <cellStyle name="40% - Accent3 5 2_Cash flow" xfId="6665" xr:uid="{2A00850C-B0C5-4BEE-964B-1725A42CB20F}"/>
    <cellStyle name="40% - Accent3 5 3" xfId="1585" xr:uid="{00000000-0005-0000-0000-00009E040000}"/>
    <cellStyle name="40% - Accent3 5 3 2" xfId="1586" xr:uid="{00000000-0005-0000-0000-00009F040000}"/>
    <cellStyle name="40% - Accent3 5 4" xfId="1587" xr:uid="{00000000-0005-0000-0000-0000A0040000}"/>
    <cellStyle name="40% - Accent3 5_Cash flow" xfId="6664" xr:uid="{1F309951-5A87-4BEC-94D1-6D011028FD36}"/>
    <cellStyle name="40% - Accent3 6" xfId="1588" xr:uid="{00000000-0005-0000-0000-0000A2040000}"/>
    <cellStyle name="40% - Accent3 6 2" xfId="1589" xr:uid="{00000000-0005-0000-0000-0000A3040000}"/>
    <cellStyle name="40% - Accent3 6 2 2" xfId="1590" xr:uid="{00000000-0005-0000-0000-0000A4040000}"/>
    <cellStyle name="40% - Accent3 6 2 2 2" xfId="1591" xr:uid="{00000000-0005-0000-0000-0000A5040000}"/>
    <cellStyle name="40% - Accent3 6 2 3" xfId="1592" xr:uid="{00000000-0005-0000-0000-0000A6040000}"/>
    <cellStyle name="40% - Accent3 6 2_Cash flow" xfId="6667" xr:uid="{8ACAB392-B486-4F58-9223-28979E71285E}"/>
    <cellStyle name="40% - Accent3 6 3" xfId="1593" xr:uid="{00000000-0005-0000-0000-0000A7040000}"/>
    <cellStyle name="40% - Accent3 6 3 2" xfId="1594" xr:uid="{00000000-0005-0000-0000-0000A8040000}"/>
    <cellStyle name="40% - Accent3 6 4" xfId="1595" xr:uid="{00000000-0005-0000-0000-0000A9040000}"/>
    <cellStyle name="40% - Accent3 6_Cash flow" xfId="6666" xr:uid="{B513121A-71DA-4C7B-8D76-C0E253152CFD}"/>
    <cellStyle name="40% - Accent3 7" xfId="1596" xr:uid="{00000000-0005-0000-0000-0000AB040000}"/>
    <cellStyle name="40% - Accent3 7 2" xfId="1597" xr:uid="{00000000-0005-0000-0000-0000AC040000}"/>
    <cellStyle name="40% - Accent3 7 2 2" xfId="1598" xr:uid="{00000000-0005-0000-0000-0000AD040000}"/>
    <cellStyle name="40% - Accent3 7 3" xfId="1599" xr:uid="{00000000-0005-0000-0000-0000AE040000}"/>
    <cellStyle name="40% - Accent3 7_Cash flow" xfId="6668" xr:uid="{8FCA617C-8F76-4D52-AD88-EB537A003FB2}"/>
    <cellStyle name="40% - Accent3 8" xfId="1600" xr:uid="{00000000-0005-0000-0000-0000B0040000}"/>
    <cellStyle name="40% - Accent3 9" xfId="1601" xr:uid="{00000000-0005-0000-0000-0000B1040000}"/>
    <cellStyle name="40% - Accent4 10" xfId="1602" xr:uid="{00000000-0005-0000-0000-0000B2040000}"/>
    <cellStyle name="40% - Accent4 11" xfId="1603" xr:uid="{00000000-0005-0000-0000-0000B3040000}"/>
    <cellStyle name="40% - Accent4 12" xfId="1604" xr:uid="{00000000-0005-0000-0000-0000B4040000}"/>
    <cellStyle name="40% - Accent4 13" xfId="1605" xr:uid="{00000000-0005-0000-0000-0000B5040000}"/>
    <cellStyle name="40% - Accent4 14" xfId="6669" xr:uid="{16871122-7D54-48E4-AE05-F07B38508B46}"/>
    <cellStyle name="40% - Accent4 2" xfId="81" xr:uid="{00000000-0005-0000-0000-0000B6040000}"/>
    <cellStyle name="40% - Accent4 2 10" xfId="1606" xr:uid="{00000000-0005-0000-0000-0000B7040000}"/>
    <cellStyle name="40% - Accent4 2 10 2" xfId="1607" xr:uid="{00000000-0005-0000-0000-0000B8040000}"/>
    <cellStyle name="40% - Accent4 2 10 2 2" xfId="1608" xr:uid="{00000000-0005-0000-0000-0000B9040000}"/>
    <cellStyle name="40% - Accent4 2 10 3" xfId="1609" xr:uid="{00000000-0005-0000-0000-0000BA040000}"/>
    <cellStyle name="40% - Accent4 2 11" xfId="1610" xr:uid="{00000000-0005-0000-0000-0000BB040000}"/>
    <cellStyle name="40% - Accent4 2 11 2" xfId="1611" xr:uid="{00000000-0005-0000-0000-0000BC040000}"/>
    <cellStyle name="40% - Accent4 2 11 2 2" xfId="1612" xr:uid="{00000000-0005-0000-0000-0000BD040000}"/>
    <cellStyle name="40% - Accent4 2 11 3" xfId="1613" xr:uid="{00000000-0005-0000-0000-0000BE040000}"/>
    <cellStyle name="40% - Accent4 2 12" xfId="1614" xr:uid="{00000000-0005-0000-0000-0000BF040000}"/>
    <cellStyle name="40% - Accent4 2 12 2" xfId="1615" xr:uid="{00000000-0005-0000-0000-0000C0040000}"/>
    <cellStyle name="40% - Accent4 2 12 2 2" xfId="1616" xr:uid="{00000000-0005-0000-0000-0000C1040000}"/>
    <cellStyle name="40% - Accent4 2 12 3" xfId="1617" xr:uid="{00000000-0005-0000-0000-0000C2040000}"/>
    <cellStyle name="40% - Accent4 2 13" xfId="1618" xr:uid="{00000000-0005-0000-0000-0000C3040000}"/>
    <cellStyle name="40% - Accent4 2 13 2" xfId="1619" xr:uid="{00000000-0005-0000-0000-0000C4040000}"/>
    <cellStyle name="40% - Accent4 2 13 2 2" xfId="1620" xr:uid="{00000000-0005-0000-0000-0000C5040000}"/>
    <cellStyle name="40% - Accent4 2 13 3" xfId="1621" xr:uid="{00000000-0005-0000-0000-0000C6040000}"/>
    <cellStyle name="40% - Accent4 2 14" xfId="1622" xr:uid="{00000000-0005-0000-0000-0000C7040000}"/>
    <cellStyle name="40% - Accent4 2 15" xfId="1623" xr:uid="{00000000-0005-0000-0000-0000C8040000}"/>
    <cellStyle name="40% - Accent4 2 16" xfId="1624" xr:uid="{00000000-0005-0000-0000-0000C9040000}"/>
    <cellStyle name="40% - Accent4 2 17" xfId="1625" xr:uid="{00000000-0005-0000-0000-0000CA040000}"/>
    <cellStyle name="40% - Accent4 2 18" xfId="1626" xr:uid="{00000000-0005-0000-0000-0000CB040000}"/>
    <cellStyle name="40% - Accent4 2 19" xfId="1627" xr:uid="{00000000-0005-0000-0000-0000CC040000}"/>
    <cellStyle name="40% - Accent4 2 19 2" xfId="1628" xr:uid="{00000000-0005-0000-0000-0000CD040000}"/>
    <cellStyle name="40% - Accent4 2 2" xfId="1629" xr:uid="{00000000-0005-0000-0000-0000CE040000}"/>
    <cellStyle name="40% - Accent4 2 2 10" xfId="6671" xr:uid="{2C130278-4BC2-4C15-A025-D16F320B4C04}"/>
    <cellStyle name="40% - Accent4 2 2 11" xfId="6672" xr:uid="{28BCC873-4509-4592-A3D8-592B040A8C6C}"/>
    <cellStyle name="40% - Accent4 2 2 12" xfId="6673" xr:uid="{D24E3ECE-1A6D-461F-B1F3-6FAAF1DD8A1E}"/>
    <cellStyle name="40% - Accent4 2 2 13" xfId="6674" xr:uid="{64D4D4EF-8888-4707-A104-B8938141AB38}"/>
    <cellStyle name="40% - Accent4 2 2 14" xfId="6675" xr:uid="{AD6D92D6-57A9-48A6-9686-2262E326E8E9}"/>
    <cellStyle name="40% - Accent4 2 2 15" xfId="6676" xr:uid="{B8FCF39B-C93D-4100-8B6F-66D2CEF5D1D8}"/>
    <cellStyle name="40% - Accent4 2 2 16" xfId="6677" xr:uid="{1E62BA2E-61AF-4663-994A-B3B88CE71B53}"/>
    <cellStyle name="40% - Accent4 2 2 17" xfId="6678" xr:uid="{D7821D9B-9B26-4A23-ABA9-84CC7603A5F3}"/>
    <cellStyle name="40% - Accent4 2 2 18" xfId="6679" xr:uid="{0403D06F-4986-44F0-BE57-305DD5DFFB2F}"/>
    <cellStyle name="40% - Accent4 2 2 19" xfId="6680" xr:uid="{806CC625-04AC-4120-BA1A-0C77E83E34D6}"/>
    <cellStyle name="40% - Accent4 2 2 2" xfId="1630" xr:uid="{00000000-0005-0000-0000-0000CF040000}"/>
    <cellStyle name="40% - Accent4 2 2 20" xfId="6681" xr:uid="{3889F994-0004-4C7E-8A1F-0D42500FEF9D}"/>
    <cellStyle name="40% - Accent4 2 2 21" xfId="6682" xr:uid="{336BF96A-328C-4CF9-8ED7-CB0E2D1D13B1}"/>
    <cellStyle name="40% - Accent4 2 2 22" xfId="6683" xr:uid="{0DD427B4-D637-47D8-83F7-D23930F4364F}"/>
    <cellStyle name="40% - Accent4 2 2 23" xfId="6684" xr:uid="{5F0D4B35-DA47-4479-B265-54D6FA4352F9}"/>
    <cellStyle name="40% - Accent4 2 2 24" xfId="6685" xr:uid="{3E3D25CB-9112-4E62-BB98-9F9E12EB7A6A}"/>
    <cellStyle name="40% - Accent4 2 2 25" xfId="6686" xr:uid="{5D0613DB-E1DC-44C2-B566-96B5D4D847DA}"/>
    <cellStyle name="40% - Accent4 2 2 26" xfId="6687" xr:uid="{92501DEC-F19A-43B1-BBBE-8DA7E8A7020C}"/>
    <cellStyle name="40% - Accent4 2 2 3" xfId="1631" xr:uid="{00000000-0005-0000-0000-0000D0040000}"/>
    <cellStyle name="40% - Accent4 2 2 4" xfId="1632" xr:uid="{00000000-0005-0000-0000-0000D1040000}"/>
    <cellStyle name="40% - Accent4 2 2 5" xfId="1633" xr:uid="{00000000-0005-0000-0000-0000D2040000}"/>
    <cellStyle name="40% - Accent4 2 2 6" xfId="1634" xr:uid="{00000000-0005-0000-0000-0000D3040000}"/>
    <cellStyle name="40% - Accent4 2 2 7" xfId="1635" xr:uid="{00000000-0005-0000-0000-0000D4040000}"/>
    <cellStyle name="40% - Accent4 2 2 8" xfId="1636" xr:uid="{00000000-0005-0000-0000-0000D5040000}"/>
    <cellStyle name="40% - Accent4 2 2 8 2" xfId="1637" xr:uid="{00000000-0005-0000-0000-0000D6040000}"/>
    <cellStyle name="40% - Accent4 2 2 8_Cash flow" xfId="6688" xr:uid="{3F8FE433-73C4-4A03-B247-7C9491392E35}"/>
    <cellStyle name="40% - Accent4 2 2 9" xfId="1638" xr:uid="{00000000-0005-0000-0000-0000D7040000}"/>
    <cellStyle name="40% - Accent4 2 2_Cash flow" xfId="6670" xr:uid="{50B82831-D854-45D4-A1EB-F1592CB18919}"/>
    <cellStyle name="40% - Accent4 2 3" xfId="1639" xr:uid="{00000000-0005-0000-0000-0000D9040000}"/>
    <cellStyle name="40% - Accent4 2 3 10" xfId="1640" xr:uid="{00000000-0005-0000-0000-0000DA040000}"/>
    <cellStyle name="40% - Accent4 2 3 11" xfId="1641" xr:uid="{00000000-0005-0000-0000-0000DB040000}"/>
    <cellStyle name="40% - Accent4 2 3 12" xfId="1642" xr:uid="{00000000-0005-0000-0000-0000DC040000}"/>
    <cellStyle name="40% - Accent4 2 3 13" xfId="1643" xr:uid="{00000000-0005-0000-0000-0000DD040000}"/>
    <cellStyle name="40% - Accent4 2 3 13 2" xfId="1644" xr:uid="{00000000-0005-0000-0000-0000DE040000}"/>
    <cellStyle name="40% - Accent4 2 3 14" xfId="1645" xr:uid="{00000000-0005-0000-0000-0000DF040000}"/>
    <cellStyle name="40% - Accent4 2 3 2" xfId="1646" xr:uid="{00000000-0005-0000-0000-0000E0040000}"/>
    <cellStyle name="40% - Accent4 2 3 3" xfId="1647" xr:uid="{00000000-0005-0000-0000-0000E1040000}"/>
    <cellStyle name="40% - Accent4 2 3 4" xfId="1648" xr:uid="{00000000-0005-0000-0000-0000E2040000}"/>
    <cellStyle name="40% - Accent4 2 3 5" xfId="1649" xr:uid="{00000000-0005-0000-0000-0000E3040000}"/>
    <cellStyle name="40% - Accent4 2 3 6" xfId="1650" xr:uid="{00000000-0005-0000-0000-0000E4040000}"/>
    <cellStyle name="40% - Accent4 2 3 7" xfId="1651" xr:uid="{00000000-0005-0000-0000-0000E5040000}"/>
    <cellStyle name="40% - Accent4 2 3 8" xfId="1652" xr:uid="{00000000-0005-0000-0000-0000E6040000}"/>
    <cellStyle name="40% - Accent4 2 3 9" xfId="1653" xr:uid="{00000000-0005-0000-0000-0000E7040000}"/>
    <cellStyle name="40% - Accent4 2 3_Derivatives" xfId="1654" xr:uid="{00000000-0005-0000-0000-0000E8040000}"/>
    <cellStyle name="40% - Accent4 2 4" xfId="1655" xr:uid="{00000000-0005-0000-0000-0000E9040000}"/>
    <cellStyle name="40% - Accent4 2 4 2" xfId="1656" xr:uid="{00000000-0005-0000-0000-0000EA040000}"/>
    <cellStyle name="40% - Accent4 2 4 2 2" xfId="1657" xr:uid="{00000000-0005-0000-0000-0000EB040000}"/>
    <cellStyle name="40% - Accent4 2 4 3" xfId="1658" xr:uid="{00000000-0005-0000-0000-0000EC040000}"/>
    <cellStyle name="40% - Accent4 2 4_EQU" xfId="1659" xr:uid="{00000000-0005-0000-0000-0000ED040000}"/>
    <cellStyle name="40% - Accent4 2 5" xfId="1660" xr:uid="{00000000-0005-0000-0000-0000EE040000}"/>
    <cellStyle name="40% - Accent4 2 5 2" xfId="1661" xr:uid="{00000000-0005-0000-0000-0000EF040000}"/>
    <cellStyle name="40% - Accent4 2 5 2 2" xfId="1662" xr:uid="{00000000-0005-0000-0000-0000F0040000}"/>
    <cellStyle name="40% - Accent4 2 5 3" xfId="1663" xr:uid="{00000000-0005-0000-0000-0000F1040000}"/>
    <cellStyle name="40% - Accent4 2 5_Derivatives" xfId="1664" xr:uid="{00000000-0005-0000-0000-0000F2040000}"/>
    <cellStyle name="40% - Accent4 2 6" xfId="1665" xr:uid="{00000000-0005-0000-0000-0000F3040000}"/>
    <cellStyle name="40% - Accent4 2 6 2" xfId="1666" xr:uid="{00000000-0005-0000-0000-0000F4040000}"/>
    <cellStyle name="40% - Accent4 2 6 2 2" xfId="1667" xr:uid="{00000000-0005-0000-0000-0000F5040000}"/>
    <cellStyle name="40% - Accent4 2 6 3" xfId="1668" xr:uid="{00000000-0005-0000-0000-0000F6040000}"/>
    <cellStyle name="40% - Accent4 2 6_Derivatives" xfId="1669" xr:uid="{00000000-0005-0000-0000-0000F7040000}"/>
    <cellStyle name="40% - Accent4 2 7" xfId="1670" xr:uid="{00000000-0005-0000-0000-0000F8040000}"/>
    <cellStyle name="40% - Accent4 2 7 2" xfId="1671" xr:uid="{00000000-0005-0000-0000-0000F9040000}"/>
    <cellStyle name="40% - Accent4 2 7 2 2" xfId="1672" xr:uid="{00000000-0005-0000-0000-0000FA040000}"/>
    <cellStyle name="40% - Accent4 2 7 3" xfId="1673" xr:uid="{00000000-0005-0000-0000-0000FB040000}"/>
    <cellStyle name="40% - Accent4 2 7_Derivatives" xfId="1674" xr:uid="{00000000-0005-0000-0000-0000FC040000}"/>
    <cellStyle name="40% - Accent4 2 8" xfId="1675" xr:uid="{00000000-0005-0000-0000-0000FD040000}"/>
    <cellStyle name="40% - Accent4 2 8 2" xfId="1676" xr:uid="{00000000-0005-0000-0000-0000FE040000}"/>
    <cellStyle name="40% - Accent4 2 8 2 2" xfId="1677" xr:uid="{00000000-0005-0000-0000-0000FF040000}"/>
    <cellStyle name="40% - Accent4 2 8 3" xfId="1678" xr:uid="{00000000-0005-0000-0000-000000050000}"/>
    <cellStyle name="40% - Accent4 2 8_Derivatives" xfId="1679" xr:uid="{00000000-0005-0000-0000-000001050000}"/>
    <cellStyle name="40% - Accent4 2 9" xfId="1680" xr:uid="{00000000-0005-0000-0000-000002050000}"/>
    <cellStyle name="40% - Accent4 2 9 2" xfId="1681" xr:uid="{00000000-0005-0000-0000-000003050000}"/>
    <cellStyle name="40% - Accent4 2 9 2 2" xfId="1682" xr:uid="{00000000-0005-0000-0000-000004050000}"/>
    <cellStyle name="40% - Accent4 2 9 3" xfId="1683" xr:uid="{00000000-0005-0000-0000-000005050000}"/>
    <cellStyle name="40% - Accent4 2_5130_new" xfId="1684" xr:uid="{00000000-0005-0000-0000-000006050000}"/>
    <cellStyle name="40% - Accent4 3" xfId="82" xr:uid="{00000000-0005-0000-0000-000007050000}"/>
    <cellStyle name="40% - Accent4 3 10" xfId="1685" xr:uid="{00000000-0005-0000-0000-000008050000}"/>
    <cellStyle name="40% - Accent4 3 11" xfId="6689" xr:uid="{C53CC756-D9B5-4988-88CD-0CF4FA34BBAB}"/>
    <cellStyle name="40% - Accent4 3 12" xfId="6690" xr:uid="{D2C21884-B5E6-451F-85F8-204358D3ED33}"/>
    <cellStyle name="40% - Accent4 3 13" xfId="6691" xr:uid="{410AE36B-04C7-4388-872C-18339D0634E8}"/>
    <cellStyle name="40% - Accent4 3 14" xfId="6692" xr:uid="{DDA4F274-73FB-404E-81C7-43DF31D2D78C}"/>
    <cellStyle name="40% - Accent4 3 15" xfId="6693" xr:uid="{5BED5D51-FA78-402B-B961-447BE7496001}"/>
    <cellStyle name="40% - Accent4 3 16" xfId="6694" xr:uid="{82B18D9B-CBF4-4DCA-BC9C-7450CD53DADE}"/>
    <cellStyle name="40% - Accent4 3 17" xfId="6695" xr:uid="{4B7EE2C5-81C8-4311-8E42-1DD372106C3A}"/>
    <cellStyle name="40% - Accent4 3 18" xfId="6696" xr:uid="{2B94D9E6-7798-43D6-B9BC-B4B714E45782}"/>
    <cellStyle name="40% - Accent4 3 19" xfId="6697" xr:uid="{E4EFC5DB-9F6E-40C3-B715-B332932C8E02}"/>
    <cellStyle name="40% - Accent4 3 2" xfId="1686" xr:uid="{00000000-0005-0000-0000-000009050000}"/>
    <cellStyle name="40% - Accent4 3 2 2" xfId="1687" xr:uid="{00000000-0005-0000-0000-00000A050000}"/>
    <cellStyle name="40% - Accent4 3 2 2 2" xfId="1688" xr:uid="{00000000-0005-0000-0000-00000B050000}"/>
    <cellStyle name="40% - Accent4 3 2 3" xfId="1689" xr:uid="{00000000-0005-0000-0000-00000C050000}"/>
    <cellStyle name="40% - Accent4 3 2_Cash flow" xfId="6698" xr:uid="{68E1D4E6-8C91-4909-A68C-36A13758D20C}"/>
    <cellStyle name="40% - Accent4 3 20" xfId="6699" xr:uid="{ABBAA7C4-082C-44FF-B6C4-9C201A4042E5}"/>
    <cellStyle name="40% - Accent4 3 21" xfId="6700" xr:uid="{02560F35-B450-4E87-9A5F-1EF9EFA6D5AD}"/>
    <cellStyle name="40% - Accent4 3 22" xfId="6701" xr:uid="{476CE898-0A7E-474F-82D6-011F8F92886F}"/>
    <cellStyle name="40% - Accent4 3 23" xfId="6702" xr:uid="{BA7CF066-9244-495C-B5DE-985B799075F0}"/>
    <cellStyle name="40% - Accent4 3 24" xfId="6703" xr:uid="{AD06ED72-20BC-499F-826C-87261DC7BEB3}"/>
    <cellStyle name="40% - Accent4 3 25" xfId="6704" xr:uid="{D4131D00-7AD4-400D-BF27-88E649C849FA}"/>
    <cellStyle name="40% - Accent4 3 26" xfId="6705" xr:uid="{EBF4B104-C114-4D36-A36D-1EB1FC516E63}"/>
    <cellStyle name="40% - Accent4 3 3" xfId="1690" xr:uid="{00000000-0005-0000-0000-00000E050000}"/>
    <cellStyle name="40% - Accent4 3 4" xfId="1691" xr:uid="{00000000-0005-0000-0000-00000F050000}"/>
    <cellStyle name="40% - Accent4 3 5" xfId="1692" xr:uid="{00000000-0005-0000-0000-000010050000}"/>
    <cellStyle name="40% - Accent4 3 6" xfId="1693" xr:uid="{00000000-0005-0000-0000-000011050000}"/>
    <cellStyle name="40% - Accent4 3 7" xfId="1694" xr:uid="{00000000-0005-0000-0000-000012050000}"/>
    <cellStyle name="40% - Accent4 3 8" xfId="1695" xr:uid="{00000000-0005-0000-0000-000013050000}"/>
    <cellStyle name="40% - Accent4 3 9" xfId="1696" xr:uid="{00000000-0005-0000-0000-000014050000}"/>
    <cellStyle name="40% - Accent4 3 9 2" xfId="1697" xr:uid="{00000000-0005-0000-0000-000015050000}"/>
    <cellStyle name="40% - Accent4 3 9_Cash flow" xfId="6706" xr:uid="{EE25B8C2-0EA1-46DF-AA2A-752D4BE6AC9B}"/>
    <cellStyle name="40% - Accent4 3_Australia Results" xfId="6707" xr:uid="{40BDC566-81B6-499D-A525-860C1C253B79}"/>
    <cellStyle name="40% - Accent4 4" xfId="83" xr:uid="{00000000-0005-0000-0000-000017050000}"/>
    <cellStyle name="40% - Accent4 4 10" xfId="1698" xr:uid="{00000000-0005-0000-0000-000018050000}"/>
    <cellStyle name="40% - Accent4 4 2" xfId="1699" xr:uid="{00000000-0005-0000-0000-000019050000}"/>
    <cellStyle name="40% - Accent4 4 2 2" xfId="1700" xr:uid="{00000000-0005-0000-0000-00001A050000}"/>
    <cellStyle name="40% - Accent4 4 2 2 2" xfId="1701" xr:uid="{00000000-0005-0000-0000-00001B050000}"/>
    <cellStyle name="40% - Accent4 4 2 3" xfId="1702" xr:uid="{00000000-0005-0000-0000-00001C050000}"/>
    <cellStyle name="40% - Accent4 4 2_EQU" xfId="1703" xr:uid="{00000000-0005-0000-0000-00001D050000}"/>
    <cellStyle name="40% - Accent4 4 3" xfId="1704" xr:uid="{00000000-0005-0000-0000-00001E050000}"/>
    <cellStyle name="40% - Accent4 4 4" xfId="1705" xr:uid="{00000000-0005-0000-0000-00001F050000}"/>
    <cellStyle name="40% - Accent4 4 5" xfId="1706" xr:uid="{00000000-0005-0000-0000-000020050000}"/>
    <cellStyle name="40% - Accent4 4 6" xfId="1707" xr:uid="{00000000-0005-0000-0000-000021050000}"/>
    <cellStyle name="40% - Accent4 4 7" xfId="1708" xr:uid="{00000000-0005-0000-0000-000022050000}"/>
    <cellStyle name="40% - Accent4 4 8" xfId="1709" xr:uid="{00000000-0005-0000-0000-000023050000}"/>
    <cellStyle name="40% - Accent4 4 9" xfId="1710" xr:uid="{00000000-0005-0000-0000-000024050000}"/>
    <cellStyle name="40% - Accent4 4 9 2" xfId="1711" xr:uid="{00000000-0005-0000-0000-000025050000}"/>
    <cellStyle name="40% - Accent4 4_Australia Results" xfId="6708" xr:uid="{A033EB82-562D-4E02-B384-06AD7FE3F4E7}"/>
    <cellStyle name="40% - Accent4 5" xfId="84" xr:uid="{00000000-0005-0000-0000-000027050000}"/>
    <cellStyle name="40% - Accent4 5 2" xfId="1712" xr:uid="{00000000-0005-0000-0000-000028050000}"/>
    <cellStyle name="40% - Accent4 5 2 2" xfId="1713" xr:uid="{00000000-0005-0000-0000-000029050000}"/>
    <cellStyle name="40% - Accent4 5 2 2 2" xfId="1714" xr:uid="{00000000-0005-0000-0000-00002A050000}"/>
    <cellStyle name="40% - Accent4 5 2 3" xfId="1715" xr:uid="{00000000-0005-0000-0000-00002B050000}"/>
    <cellStyle name="40% - Accent4 5 2_Cash flow" xfId="6710" xr:uid="{E142D56C-8A73-4846-BFA3-2E61BF0D4747}"/>
    <cellStyle name="40% - Accent4 5 3" xfId="1716" xr:uid="{00000000-0005-0000-0000-00002C050000}"/>
    <cellStyle name="40% - Accent4 5 3 2" xfId="1717" xr:uid="{00000000-0005-0000-0000-00002D050000}"/>
    <cellStyle name="40% - Accent4 5 4" xfId="1718" xr:uid="{00000000-0005-0000-0000-00002E050000}"/>
    <cellStyle name="40% - Accent4 5_Cash flow" xfId="6709" xr:uid="{0D298AC3-2D90-45EB-82EC-78CEECACFC08}"/>
    <cellStyle name="40% - Accent4 6" xfId="1719" xr:uid="{00000000-0005-0000-0000-000030050000}"/>
    <cellStyle name="40% - Accent4 6 2" xfId="1720" xr:uid="{00000000-0005-0000-0000-000031050000}"/>
    <cellStyle name="40% - Accent4 6 2 2" xfId="1721" xr:uid="{00000000-0005-0000-0000-000032050000}"/>
    <cellStyle name="40% - Accent4 6 2 2 2" xfId="1722" xr:uid="{00000000-0005-0000-0000-000033050000}"/>
    <cellStyle name="40% - Accent4 6 2 3" xfId="1723" xr:uid="{00000000-0005-0000-0000-000034050000}"/>
    <cellStyle name="40% - Accent4 6 2_Cash flow" xfId="6712" xr:uid="{BAFF663F-55C8-45A2-BE00-C1B2C3E2FF08}"/>
    <cellStyle name="40% - Accent4 6 3" xfId="1724" xr:uid="{00000000-0005-0000-0000-000035050000}"/>
    <cellStyle name="40% - Accent4 6 3 2" xfId="1725" xr:uid="{00000000-0005-0000-0000-000036050000}"/>
    <cellStyle name="40% - Accent4 6 4" xfId="1726" xr:uid="{00000000-0005-0000-0000-000037050000}"/>
    <cellStyle name="40% - Accent4 6_Cash flow" xfId="6711" xr:uid="{7F7320E8-F05C-47F0-8BE7-93F0460B4724}"/>
    <cellStyle name="40% - Accent4 7" xfId="1727" xr:uid="{00000000-0005-0000-0000-000039050000}"/>
    <cellStyle name="40% - Accent4 7 2" xfId="1728" xr:uid="{00000000-0005-0000-0000-00003A050000}"/>
    <cellStyle name="40% - Accent4 7 2 2" xfId="1729" xr:uid="{00000000-0005-0000-0000-00003B050000}"/>
    <cellStyle name="40% - Accent4 7 3" xfId="1730" xr:uid="{00000000-0005-0000-0000-00003C050000}"/>
    <cellStyle name="40% - Accent4 7_Cash flow" xfId="6713" xr:uid="{2CF974AA-009B-4962-8F7A-9A66F06BA1C8}"/>
    <cellStyle name="40% - Accent4 8" xfId="1731" xr:uid="{00000000-0005-0000-0000-00003E050000}"/>
    <cellStyle name="40% - Accent4 9" xfId="1732" xr:uid="{00000000-0005-0000-0000-00003F050000}"/>
    <cellStyle name="40% - Accent5 10" xfId="1733" xr:uid="{00000000-0005-0000-0000-000040050000}"/>
    <cellStyle name="40% - Accent5 11" xfId="1734" xr:uid="{00000000-0005-0000-0000-000041050000}"/>
    <cellStyle name="40% - Accent5 12" xfId="1735" xr:uid="{00000000-0005-0000-0000-000042050000}"/>
    <cellStyle name="40% - Accent5 13" xfId="1736" xr:uid="{00000000-0005-0000-0000-000043050000}"/>
    <cellStyle name="40% - Accent5 14" xfId="6714" xr:uid="{349B386C-378A-457F-9F31-3E98121EB0C0}"/>
    <cellStyle name="40% - Accent5 2" xfId="85" xr:uid="{00000000-0005-0000-0000-000044050000}"/>
    <cellStyle name="40% - Accent5 2 10" xfId="1737" xr:uid="{00000000-0005-0000-0000-000045050000}"/>
    <cellStyle name="40% - Accent5 2 11" xfId="1738" xr:uid="{00000000-0005-0000-0000-000046050000}"/>
    <cellStyle name="40% - Accent5 2 12" xfId="1739" xr:uid="{00000000-0005-0000-0000-000047050000}"/>
    <cellStyle name="40% - Accent5 2 13" xfId="1740" xr:uid="{00000000-0005-0000-0000-000048050000}"/>
    <cellStyle name="40% - Accent5 2 14" xfId="1741" xr:uid="{00000000-0005-0000-0000-000049050000}"/>
    <cellStyle name="40% - Accent5 2 15" xfId="1742" xr:uid="{00000000-0005-0000-0000-00004A050000}"/>
    <cellStyle name="40% - Accent5 2 16" xfId="1743" xr:uid="{00000000-0005-0000-0000-00004B050000}"/>
    <cellStyle name="40% - Accent5 2 17" xfId="1744" xr:uid="{00000000-0005-0000-0000-00004C050000}"/>
    <cellStyle name="40% - Accent5 2 18" xfId="1745" xr:uid="{00000000-0005-0000-0000-00004D050000}"/>
    <cellStyle name="40% - Accent5 2 2" xfId="1746" xr:uid="{00000000-0005-0000-0000-00004E050000}"/>
    <cellStyle name="40% - Accent5 2 2 10" xfId="6715" xr:uid="{71684AFD-8C85-42DD-A207-65214D9BC69A}"/>
    <cellStyle name="40% - Accent5 2 2 11" xfId="6716" xr:uid="{C3E3BBEB-587E-4004-B166-A07D10FB41A9}"/>
    <cellStyle name="40% - Accent5 2 2 12" xfId="6717" xr:uid="{B8A4B56A-A0F4-47A0-B498-420709DF394E}"/>
    <cellStyle name="40% - Accent5 2 2 13" xfId="6718" xr:uid="{7D632893-55C1-4AD1-A160-25F317AA58AF}"/>
    <cellStyle name="40% - Accent5 2 2 14" xfId="6719" xr:uid="{D7253348-2638-49F7-936F-845E815623D5}"/>
    <cellStyle name="40% - Accent5 2 2 15" xfId="6720" xr:uid="{61AE4F99-F58E-44AE-B1AC-02736D1D46E5}"/>
    <cellStyle name="40% - Accent5 2 2 16" xfId="6721" xr:uid="{7133F941-AA8A-4C01-A57A-37D7E376DE94}"/>
    <cellStyle name="40% - Accent5 2 2 17" xfId="6722" xr:uid="{D84E54A1-0641-453B-9A81-B9E7265CF823}"/>
    <cellStyle name="40% - Accent5 2 2 18" xfId="6723" xr:uid="{831201DE-3CEE-4A16-A925-4E8D33726C5A}"/>
    <cellStyle name="40% - Accent5 2 2 19" xfId="6724" xr:uid="{FFAE8993-9CAE-4351-AB9D-497932AF5EF2}"/>
    <cellStyle name="40% - Accent5 2 2 2" xfId="1747" xr:uid="{00000000-0005-0000-0000-00004F050000}"/>
    <cellStyle name="40% - Accent5 2 2 20" xfId="6725" xr:uid="{42D97345-2217-4DAC-8743-13AF23AA099A}"/>
    <cellStyle name="40% - Accent5 2 2 21" xfId="6726" xr:uid="{538CDF79-D118-43DF-92F2-1C2E338AFEB6}"/>
    <cellStyle name="40% - Accent5 2 2 22" xfId="6727" xr:uid="{D7236F2D-52D5-404E-A2E4-478B7B3ECFF1}"/>
    <cellStyle name="40% - Accent5 2 2 23" xfId="6728" xr:uid="{11A3B7EE-23CE-4EAA-B814-3188FF652B71}"/>
    <cellStyle name="40% - Accent5 2 2 24" xfId="6729" xr:uid="{5E34CA85-7458-4F76-B4A4-1E6DC781D3E5}"/>
    <cellStyle name="40% - Accent5 2 2 25" xfId="6730" xr:uid="{44FF1FDF-3051-4DB1-B8A0-CE2BC9F75F42}"/>
    <cellStyle name="40% - Accent5 2 2 26" xfId="6731" xr:uid="{A1C159B2-4778-4983-8917-CD04BA508932}"/>
    <cellStyle name="40% - Accent5 2 2 3" xfId="1748" xr:uid="{00000000-0005-0000-0000-000050050000}"/>
    <cellStyle name="40% - Accent5 2 2 4" xfId="1749" xr:uid="{00000000-0005-0000-0000-000051050000}"/>
    <cellStyle name="40% - Accent5 2 2 5" xfId="1750" xr:uid="{00000000-0005-0000-0000-000052050000}"/>
    <cellStyle name="40% - Accent5 2 2 6" xfId="1751" xr:uid="{00000000-0005-0000-0000-000053050000}"/>
    <cellStyle name="40% - Accent5 2 2 7" xfId="1752" xr:uid="{00000000-0005-0000-0000-000054050000}"/>
    <cellStyle name="40% - Accent5 2 2 8" xfId="1753" xr:uid="{00000000-0005-0000-0000-000055050000}"/>
    <cellStyle name="40% - Accent5 2 2 9" xfId="6732" xr:uid="{6DA70581-70B1-4072-B533-66CE326A6E71}"/>
    <cellStyle name="40% - Accent5 2 2_EQU" xfId="1754" xr:uid="{00000000-0005-0000-0000-000056050000}"/>
    <cellStyle name="40% - Accent5 2 3" xfId="1755" xr:uid="{00000000-0005-0000-0000-000057050000}"/>
    <cellStyle name="40% - Accent5 2 3 10" xfId="1756" xr:uid="{00000000-0005-0000-0000-000058050000}"/>
    <cellStyle name="40% - Accent5 2 3 11" xfId="1757" xr:uid="{00000000-0005-0000-0000-000059050000}"/>
    <cellStyle name="40% - Accent5 2 3 12" xfId="1758" xr:uid="{00000000-0005-0000-0000-00005A050000}"/>
    <cellStyle name="40% - Accent5 2 3 13" xfId="1759" xr:uid="{00000000-0005-0000-0000-00005B050000}"/>
    <cellStyle name="40% - Accent5 2 3 14" xfId="1760" xr:uid="{00000000-0005-0000-0000-00005C050000}"/>
    <cellStyle name="40% - Accent5 2 3 15" xfId="1761" xr:uid="{00000000-0005-0000-0000-00005D050000}"/>
    <cellStyle name="40% - Accent5 2 3 16" xfId="1762" xr:uid="{00000000-0005-0000-0000-00005E050000}"/>
    <cellStyle name="40% - Accent5 2 3 17" xfId="1763" xr:uid="{00000000-0005-0000-0000-00005F050000}"/>
    <cellStyle name="40% - Accent5 2 3 18" xfId="1764" xr:uid="{00000000-0005-0000-0000-000060050000}"/>
    <cellStyle name="40% - Accent5 2 3 2" xfId="1765" xr:uid="{00000000-0005-0000-0000-000061050000}"/>
    <cellStyle name="40% - Accent5 2 3 2 10" xfId="1766" xr:uid="{00000000-0005-0000-0000-000062050000}"/>
    <cellStyle name="40% - Accent5 2 3 2 11" xfId="1767" xr:uid="{00000000-0005-0000-0000-000063050000}"/>
    <cellStyle name="40% - Accent5 2 3 2 12" xfId="1768" xr:uid="{00000000-0005-0000-0000-000064050000}"/>
    <cellStyle name="40% - Accent5 2 3 2 2" xfId="1769" xr:uid="{00000000-0005-0000-0000-000065050000}"/>
    <cellStyle name="40% - Accent5 2 3 2 3" xfId="1770" xr:uid="{00000000-0005-0000-0000-000066050000}"/>
    <cellStyle name="40% - Accent5 2 3 2 4" xfId="1771" xr:uid="{00000000-0005-0000-0000-000067050000}"/>
    <cellStyle name="40% - Accent5 2 3 2 5" xfId="1772" xr:uid="{00000000-0005-0000-0000-000068050000}"/>
    <cellStyle name="40% - Accent5 2 3 2 6" xfId="1773" xr:uid="{00000000-0005-0000-0000-000069050000}"/>
    <cellStyle name="40% - Accent5 2 3 2 7" xfId="1774" xr:uid="{00000000-0005-0000-0000-00006A050000}"/>
    <cellStyle name="40% - Accent5 2 3 2 8" xfId="1775" xr:uid="{00000000-0005-0000-0000-00006B050000}"/>
    <cellStyle name="40% - Accent5 2 3 2 9" xfId="1776" xr:uid="{00000000-0005-0000-0000-00006C050000}"/>
    <cellStyle name="40% - Accent5 2 3 3" xfId="1777" xr:uid="{00000000-0005-0000-0000-00006D050000}"/>
    <cellStyle name="40% - Accent5 2 3 4" xfId="1778" xr:uid="{00000000-0005-0000-0000-00006E050000}"/>
    <cellStyle name="40% - Accent5 2 3 5" xfId="1779" xr:uid="{00000000-0005-0000-0000-00006F050000}"/>
    <cellStyle name="40% - Accent5 2 3 6" xfId="1780" xr:uid="{00000000-0005-0000-0000-000070050000}"/>
    <cellStyle name="40% - Accent5 2 3 7" xfId="1781" xr:uid="{00000000-0005-0000-0000-000071050000}"/>
    <cellStyle name="40% - Accent5 2 3 8" xfId="1782" xr:uid="{00000000-0005-0000-0000-000072050000}"/>
    <cellStyle name="40% - Accent5 2 3 9" xfId="1783" xr:uid="{00000000-0005-0000-0000-000073050000}"/>
    <cellStyle name="40% - Accent5 2 3_Derivatives" xfId="1784" xr:uid="{00000000-0005-0000-0000-000074050000}"/>
    <cellStyle name="40% - Accent5 2 4" xfId="1785" xr:uid="{00000000-0005-0000-0000-000075050000}"/>
    <cellStyle name="40% - Accent5 2 5" xfId="1786" xr:uid="{00000000-0005-0000-0000-000076050000}"/>
    <cellStyle name="40% - Accent5 2 6" xfId="1787" xr:uid="{00000000-0005-0000-0000-000077050000}"/>
    <cellStyle name="40% - Accent5 2 7" xfId="1788" xr:uid="{00000000-0005-0000-0000-000078050000}"/>
    <cellStyle name="40% - Accent5 2 8" xfId="1789" xr:uid="{00000000-0005-0000-0000-000079050000}"/>
    <cellStyle name="40% - Accent5 2 9" xfId="1790" xr:uid="{00000000-0005-0000-0000-00007A050000}"/>
    <cellStyle name="40% - Accent5 2_5130_new" xfId="1791" xr:uid="{00000000-0005-0000-0000-00007B050000}"/>
    <cellStyle name="40% - Accent5 3" xfId="86" xr:uid="{00000000-0005-0000-0000-00007C050000}"/>
    <cellStyle name="40% - Accent5 3 10" xfId="6733" xr:uid="{1257FBBA-B540-4CE7-9CBE-9E54C614828B}"/>
    <cellStyle name="40% - Accent5 3 11" xfId="6734" xr:uid="{98917542-E02A-461F-A110-BEF6A9CAA1CE}"/>
    <cellStyle name="40% - Accent5 3 12" xfId="6735" xr:uid="{3B021CEB-49F7-4373-BE1E-56D361E2041B}"/>
    <cellStyle name="40% - Accent5 3 13" xfId="6736" xr:uid="{6FD65591-3010-4BBF-88F1-83B4EC8D35D5}"/>
    <cellStyle name="40% - Accent5 3 14" xfId="6737" xr:uid="{AD7A3547-5B46-430C-B8D7-D458D839D094}"/>
    <cellStyle name="40% - Accent5 3 15" xfId="6738" xr:uid="{93DC10F1-A51F-4A23-A241-EC1A5F0A9ECD}"/>
    <cellStyle name="40% - Accent5 3 16" xfId="6739" xr:uid="{3DB1D44C-3A8C-42C2-B482-DFCE0468D2F2}"/>
    <cellStyle name="40% - Accent5 3 17" xfId="6740" xr:uid="{2C0A4451-3CAA-44C5-8848-A31F7EA7552B}"/>
    <cellStyle name="40% - Accent5 3 18" xfId="6741" xr:uid="{40FEB77F-ACF9-4568-97BB-82F25E627531}"/>
    <cellStyle name="40% - Accent5 3 19" xfId="6742" xr:uid="{0C6E4BBE-383D-49A0-A8EE-5560BD7E204D}"/>
    <cellStyle name="40% - Accent5 3 2" xfId="1792" xr:uid="{00000000-0005-0000-0000-00007D050000}"/>
    <cellStyle name="40% - Accent5 3 20" xfId="6743" xr:uid="{A18638F6-A287-4CCB-BBBA-29DA8276AF60}"/>
    <cellStyle name="40% - Accent5 3 21" xfId="6744" xr:uid="{D7F541B8-B690-45BC-9B63-89FD0C2AF673}"/>
    <cellStyle name="40% - Accent5 3 22" xfId="6745" xr:uid="{F9AAC061-CE62-40B5-B15A-D1C66351B476}"/>
    <cellStyle name="40% - Accent5 3 23" xfId="6746" xr:uid="{961AB1E8-4A6B-4C7C-BAB1-3A2A00C94E88}"/>
    <cellStyle name="40% - Accent5 3 24" xfId="6747" xr:uid="{FC010271-8AB6-4668-BA23-B81C5075D72F}"/>
    <cellStyle name="40% - Accent5 3 25" xfId="6748" xr:uid="{393AAFC2-A85A-4A06-9557-3B969195BFCF}"/>
    <cellStyle name="40% - Accent5 3 26" xfId="6749" xr:uid="{F0762C62-799C-4286-A17B-91D849378228}"/>
    <cellStyle name="40% - Accent5 3 3" xfId="1793" xr:uid="{00000000-0005-0000-0000-00007E050000}"/>
    <cellStyle name="40% - Accent5 3 4" xfId="1794" xr:uid="{00000000-0005-0000-0000-00007F050000}"/>
    <cellStyle name="40% - Accent5 3 5" xfId="1795" xr:uid="{00000000-0005-0000-0000-000080050000}"/>
    <cellStyle name="40% - Accent5 3 6" xfId="1796" xr:uid="{00000000-0005-0000-0000-000081050000}"/>
    <cellStyle name="40% - Accent5 3 7" xfId="1797" xr:uid="{00000000-0005-0000-0000-000082050000}"/>
    <cellStyle name="40% - Accent5 3 8" xfId="1798" xr:uid="{00000000-0005-0000-0000-000083050000}"/>
    <cellStyle name="40% - Accent5 3 9" xfId="1799" xr:uid="{00000000-0005-0000-0000-000084050000}"/>
    <cellStyle name="40% - Accent5 3_Australia Results" xfId="6750" xr:uid="{7E09CD92-F0BB-45A1-A6DA-FC6262B02601}"/>
    <cellStyle name="40% - Accent5 4" xfId="87" xr:uid="{00000000-0005-0000-0000-000086050000}"/>
    <cellStyle name="40% - Accent5 4 2" xfId="1800" xr:uid="{00000000-0005-0000-0000-000087050000}"/>
    <cellStyle name="40% - Accent5 4 3" xfId="1801" xr:uid="{00000000-0005-0000-0000-000088050000}"/>
    <cellStyle name="40% - Accent5 4 4" xfId="1802" xr:uid="{00000000-0005-0000-0000-000089050000}"/>
    <cellStyle name="40% - Accent5 4 5" xfId="1803" xr:uid="{00000000-0005-0000-0000-00008A050000}"/>
    <cellStyle name="40% - Accent5 4 6" xfId="1804" xr:uid="{00000000-0005-0000-0000-00008B050000}"/>
    <cellStyle name="40% - Accent5 4 7" xfId="1805" xr:uid="{00000000-0005-0000-0000-00008C050000}"/>
    <cellStyle name="40% - Accent5 4 8" xfId="1806" xr:uid="{00000000-0005-0000-0000-00008D050000}"/>
    <cellStyle name="40% - Accent5 4 9" xfId="1807" xr:uid="{00000000-0005-0000-0000-00008E050000}"/>
    <cellStyle name="40% - Accent5 4_Australia Results" xfId="6751" xr:uid="{2DF348DD-EC4E-4D9B-A506-20B7D2BE8650}"/>
    <cellStyle name="40% - Accent5 5" xfId="88" xr:uid="{00000000-0005-0000-0000-000090050000}"/>
    <cellStyle name="40% - Accent5 5 2" xfId="1808" xr:uid="{00000000-0005-0000-0000-000091050000}"/>
    <cellStyle name="40% - Accent5 5_Cash flow" xfId="6752" xr:uid="{3910FD90-3957-4701-A5AC-2D0133709844}"/>
    <cellStyle name="40% - Accent5 6" xfId="1809" xr:uid="{00000000-0005-0000-0000-000093050000}"/>
    <cellStyle name="40% - Accent5 6 2" xfId="1810" xr:uid="{00000000-0005-0000-0000-000094050000}"/>
    <cellStyle name="40% - Accent5 6_Cash flow" xfId="6753" xr:uid="{925E811B-B286-4A90-8345-835A7C3014F6}"/>
    <cellStyle name="40% - Accent5 7" xfId="1811" xr:uid="{00000000-0005-0000-0000-000096050000}"/>
    <cellStyle name="40% - Accent5 8" xfId="1812" xr:uid="{00000000-0005-0000-0000-000097050000}"/>
    <cellStyle name="40% - Accent5 9" xfId="1813" xr:uid="{00000000-0005-0000-0000-000098050000}"/>
    <cellStyle name="40% - Accent6 10" xfId="1814" xr:uid="{00000000-0005-0000-0000-000099050000}"/>
    <cellStyle name="40% - Accent6 11" xfId="1815" xr:uid="{00000000-0005-0000-0000-00009A050000}"/>
    <cellStyle name="40% - Accent6 12" xfId="1816" xr:uid="{00000000-0005-0000-0000-00009B050000}"/>
    <cellStyle name="40% - Accent6 13" xfId="1817" xr:uid="{00000000-0005-0000-0000-00009C050000}"/>
    <cellStyle name="40% - Accent6 14" xfId="6754" xr:uid="{6B16406C-69C2-46AB-A89B-BBACB8958196}"/>
    <cellStyle name="40% - Accent6 2" xfId="89" xr:uid="{00000000-0005-0000-0000-00009D050000}"/>
    <cellStyle name="40% - Accent6 2 10" xfId="1818" xr:uid="{00000000-0005-0000-0000-00009E050000}"/>
    <cellStyle name="40% - Accent6 2 10 2" xfId="1819" xr:uid="{00000000-0005-0000-0000-00009F050000}"/>
    <cellStyle name="40% - Accent6 2 10 2 2" xfId="1820" xr:uid="{00000000-0005-0000-0000-0000A0050000}"/>
    <cellStyle name="40% - Accent6 2 10 3" xfId="1821" xr:uid="{00000000-0005-0000-0000-0000A1050000}"/>
    <cellStyle name="40% - Accent6 2 11" xfId="1822" xr:uid="{00000000-0005-0000-0000-0000A2050000}"/>
    <cellStyle name="40% - Accent6 2 11 2" xfId="1823" xr:uid="{00000000-0005-0000-0000-0000A3050000}"/>
    <cellStyle name="40% - Accent6 2 11 2 2" xfId="1824" xr:uid="{00000000-0005-0000-0000-0000A4050000}"/>
    <cellStyle name="40% - Accent6 2 11 3" xfId="1825" xr:uid="{00000000-0005-0000-0000-0000A5050000}"/>
    <cellStyle name="40% - Accent6 2 12" xfId="1826" xr:uid="{00000000-0005-0000-0000-0000A6050000}"/>
    <cellStyle name="40% - Accent6 2 12 2" xfId="1827" xr:uid="{00000000-0005-0000-0000-0000A7050000}"/>
    <cellStyle name="40% - Accent6 2 12 2 2" xfId="1828" xr:uid="{00000000-0005-0000-0000-0000A8050000}"/>
    <cellStyle name="40% - Accent6 2 12 3" xfId="1829" xr:uid="{00000000-0005-0000-0000-0000A9050000}"/>
    <cellStyle name="40% - Accent6 2 13" xfId="1830" xr:uid="{00000000-0005-0000-0000-0000AA050000}"/>
    <cellStyle name="40% - Accent6 2 13 2" xfId="1831" xr:uid="{00000000-0005-0000-0000-0000AB050000}"/>
    <cellStyle name="40% - Accent6 2 13 2 2" xfId="1832" xr:uid="{00000000-0005-0000-0000-0000AC050000}"/>
    <cellStyle name="40% - Accent6 2 13 3" xfId="1833" xr:uid="{00000000-0005-0000-0000-0000AD050000}"/>
    <cellStyle name="40% - Accent6 2 14" xfId="1834" xr:uid="{00000000-0005-0000-0000-0000AE050000}"/>
    <cellStyle name="40% - Accent6 2 15" xfId="1835" xr:uid="{00000000-0005-0000-0000-0000AF050000}"/>
    <cellStyle name="40% - Accent6 2 16" xfId="1836" xr:uid="{00000000-0005-0000-0000-0000B0050000}"/>
    <cellStyle name="40% - Accent6 2 17" xfId="1837" xr:uid="{00000000-0005-0000-0000-0000B1050000}"/>
    <cellStyle name="40% - Accent6 2 18" xfId="1838" xr:uid="{00000000-0005-0000-0000-0000B2050000}"/>
    <cellStyle name="40% - Accent6 2 19" xfId="1839" xr:uid="{00000000-0005-0000-0000-0000B3050000}"/>
    <cellStyle name="40% - Accent6 2 19 2" xfId="1840" xr:uid="{00000000-0005-0000-0000-0000B4050000}"/>
    <cellStyle name="40% - Accent6 2 2" xfId="1841" xr:uid="{00000000-0005-0000-0000-0000B5050000}"/>
    <cellStyle name="40% - Accent6 2 2 10" xfId="6756" xr:uid="{A4D1DA50-44D5-4549-B401-E095B30AA29F}"/>
    <cellStyle name="40% - Accent6 2 2 11" xfId="6757" xr:uid="{4D59F47D-13A5-4779-8E1A-2CB774B1CB09}"/>
    <cellStyle name="40% - Accent6 2 2 12" xfId="6758" xr:uid="{59616DDA-F10A-4E86-8B2D-E233D90115AE}"/>
    <cellStyle name="40% - Accent6 2 2 13" xfId="6759" xr:uid="{EC45B292-6555-4EF0-9705-4454916093B0}"/>
    <cellStyle name="40% - Accent6 2 2 14" xfId="6760" xr:uid="{21BA9B1A-3C60-4688-B019-5032DDDB043D}"/>
    <cellStyle name="40% - Accent6 2 2 15" xfId="6761" xr:uid="{41CDACBA-BCFD-4D48-ACFF-7A91D9026DFB}"/>
    <cellStyle name="40% - Accent6 2 2 16" xfId="6762" xr:uid="{4F404D18-F068-48D4-82BB-31413B40F42F}"/>
    <cellStyle name="40% - Accent6 2 2 17" xfId="6763" xr:uid="{0C6B28EE-46F4-4CEB-8DD5-9EA15E7C7F99}"/>
    <cellStyle name="40% - Accent6 2 2 18" xfId="6764" xr:uid="{23397E70-3633-4FA9-B1B0-39030938B268}"/>
    <cellStyle name="40% - Accent6 2 2 19" xfId="6765" xr:uid="{9B4FA739-3ECB-41A2-809C-FC30C5C5385E}"/>
    <cellStyle name="40% - Accent6 2 2 2" xfId="1842" xr:uid="{00000000-0005-0000-0000-0000B6050000}"/>
    <cellStyle name="40% - Accent6 2 2 20" xfId="6766" xr:uid="{EAC8CB93-358F-4A8C-B239-1EABD1C754FF}"/>
    <cellStyle name="40% - Accent6 2 2 21" xfId="6767" xr:uid="{25CF6742-2FD0-4F5D-B2B7-7721F7DF909A}"/>
    <cellStyle name="40% - Accent6 2 2 22" xfId="6768" xr:uid="{E83CDBF1-8E27-4184-8D25-87711BFA84F9}"/>
    <cellStyle name="40% - Accent6 2 2 23" xfId="6769" xr:uid="{431D17B6-2489-4F3A-815B-7CCE3DBE196F}"/>
    <cellStyle name="40% - Accent6 2 2 24" xfId="6770" xr:uid="{F7B78747-32A6-4670-B932-51DC1B7376B3}"/>
    <cellStyle name="40% - Accent6 2 2 25" xfId="6771" xr:uid="{A93888B4-5D26-45B0-B00B-25DEFB012D79}"/>
    <cellStyle name="40% - Accent6 2 2 26" xfId="6772" xr:uid="{88EFB771-A596-403C-BB91-08C172FCAF08}"/>
    <cellStyle name="40% - Accent6 2 2 3" xfId="1843" xr:uid="{00000000-0005-0000-0000-0000B7050000}"/>
    <cellStyle name="40% - Accent6 2 2 4" xfId="1844" xr:uid="{00000000-0005-0000-0000-0000B8050000}"/>
    <cellStyle name="40% - Accent6 2 2 5" xfId="1845" xr:uid="{00000000-0005-0000-0000-0000B9050000}"/>
    <cellStyle name="40% - Accent6 2 2 6" xfId="1846" xr:uid="{00000000-0005-0000-0000-0000BA050000}"/>
    <cellStyle name="40% - Accent6 2 2 7" xfId="1847" xr:uid="{00000000-0005-0000-0000-0000BB050000}"/>
    <cellStyle name="40% - Accent6 2 2 8" xfId="1848" xr:uid="{00000000-0005-0000-0000-0000BC050000}"/>
    <cellStyle name="40% - Accent6 2 2 8 2" xfId="1849" xr:uid="{00000000-0005-0000-0000-0000BD050000}"/>
    <cellStyle name="40% - Accent6 2 2 8_Cash flow" xfId="6773" xr:uid="{754107B0-C675-4D73-8BE4-12A9FC2DEC1A}"/>
    <cellStyle name="40% - Accent6 2 2 9" xfId="1850" xr:uid="{00000000-0005-0000-0000-0000BE050000}"/>
    <cellStyle name="40% - Accent6 2 2_Cash flow" xfId="6755" xr:uid="{51E423FA-034A-45FF-8FA5-8E87C0B78391}"/>
    <cellStyle name="40% - Accent6 2 3" xfId="1851" xr:uid="{00000000-0005-0000-0000-0000C0050000}"/>
    <cellStyle name="40% - Accent6 2 3 10" xfId="1852" xr:uid="{00000000-0005-0000-0000-0000C1050000}"/>
    <cellStyle name="40% - Accent6 2 3 11" xfId="1853" xr:uid="{00000000-0005-0000-0000-0000C2050000}"/>
    <cellStyle name="40% - Accent6 2 3 12" xfId="1854" xr:uid="{00000000-0005-0000-0000-0000C3050000}"/>
    <cellStyle name="40% - Accent6 2 3 13" xfId="1855" xr:uid="{00000000-0005-0000-0000-0000C4050000}"/>
    <cellStyle name="40% - Accent6 2 3 13 2" xfId="1856" xr:uid="{00000000-0005-0000-0000-0000C5050000}"/>
    <cellStyle name="40% - Accent6 2 3 14" xfId="1857" xr:uid="{00000000-0005-0000-0000-0000C6050000}"/>
    <cellStyle name="40% - Accent6 2 3 2" xfId="1858" xr:uid="{00000000-0005-0000-0000-0000C7050000}"/>
    <cellStyle name="40% - Accent6 2 3 3" xfId="1859" xr:uid="{00000000-0005-0000-0000-0000C8050000}"/>
    <cellStyle name="40% - Accent6 2 3 4" xfId="1860" xr:uid="{00000000-0005-0000-0000-0000C9050000}"/>
    <cellStyle name="40% - Accent6 2 3 5" xfId="1861" xr:uid="{00000000-0005-0000-0000-0000CA050000}"/>
    <cellStyle name="40% - Accent6 2 3 6" xfId="1862" xr:uid="{00000000-0005-0000-0000-0000CB050000}"/>
    <cellStyle name="40% - Accent6 2 3 7" xfId="1863" xr:uid="{00000000-0005-0000-0000-0000CC050000}"/>
    <cellStyle name="40% - Accent6 2 3 8" xfId="1864" xr:uid="{00000000-0005-0000-0000-0000CD050000}"/>
    <cellStyle name="40% - Accent6 2 3 9" xfId="1865" xr:uid="{00000000-0005-0000-0000-0000CE050000}"/>
    <cellStyle name="40% - Accent6 2 3_Derivatives" xfId="1866" xr:uid="{00000000-0005-0000-0000-0000CF050000}"/>
    <cellStyle name="40% - Accent6 2 4" xfId="1867" xr:uid="{00000000-0005-0000-0000-0000D0050000}"/>
    <cellStyle name="40% - Accent6 2 4 2" xfId="1868" xr:uid="{00000000-0005-0000-0000-0000D1050000}"/>
    <cellStyle name="40% - Accent6 2 4 2 2" xfId="1869" xr:uid="{00000000-0005-0000-0000-0000D2050000}"/>
    <cellStyle name="40% - Accent6 2 4 3" xfId="1870" xr:uid="{00000000-0005-0000-0000-0000D3050000}"/>
    <cellStyle name="40% - Accent6 2 4_EQU" xfId="1871" xr:uid="{00000000-0005-0000-0000-0000D4050000}"/>
    <cellStyle name="40% - Accent6 2 5" xfId="1872" xr:uid="{00000000-0005-0000-0000-0000D5050000}"/>
    <cellStyle name="40% - Accent6 2 5 2" xfId="1873" xr:uid="{00000000-0005-0000-0000-0000D6050000}"/>
    <cellStyle name="40% - Accent6 2 5 2 2" xfId="1874" xr:uid="{00000000-0005-0000-0000-0000D7050000}"/>
    <cellStyle name="40% - Accent6 2 5 3" xfId="1875" xr:uid="{00000000-0005-0000-0000-0000D8050000}"/>
    <cellStyle name="40% - Accent6 2 5_Derivatives" xfId="1876" xr:uid="{00000000-0005-0000-0000-0000D9050000}"/>
    <cellStyle name="40% - Accent6 2 6" xfId="1877" xr:uid="{00000000-0005-0000-0000-0000DA050000}"/>
    <cellStyle name="40% - Accent6 2 6 2" xfId="1878" xr:uid="{00000000-0005-0000-0000-0000DB050000}"/>
    <cellStyle name="40% - Accent6 2 6 2 2" xfId="1879" xr:uid="{00000000-0005-0000-0000-0000DC050000}"/>
    <cellStyle name="40% - Accent6 2 6 3" xfId="1880" xr:uid="{00000000-0005-0000-0000-0000DD050000}"/>
    <cellStyle name="40% - Accent6 2 6_Derivatives" xfId="1881" xr:uid="{00000000-0005-0000-0000-0000DE050000}"/>
    <cellStyle name="40% - Accent6 2 7" xfId="1882" xr:uid="{00000000-0005-0000-0000-0000DF050000}"/>
    <cellStyle name="40% - Accent6 2 7 2" xfId="1883" xr:uid="{00000000-0005-0000-0000-0000E0050000}"/>
    <cellStyle name="40% - Accent6 2 7 2 2" xfId="1884" xr:uid="{00000000-0005-0000-0000-0000E1050000}"/>
    <cellStyle name="40% - Accent6 2 7 3" xfId="1885" xr:uid="{00000000-0005-0000-0000-0000E2050000}"/>
    <cellStyle name="40% - Accent6 2 7_Derivatives" xfId="1886" xr:uid="{00000000-0005-0000-0000-0000E3050000}"/>
    <cellStyle name="40% - Accent6 2 8" xfId="1887" xr:uid="{00000000-0005-0000-0000-0000E4050000}"/>
    <cellStyle name="40% - Accent6 2 8 2" xfId="1888" xr:uid="{00000000-0005-0000-0000-0000E5050000}"/>
    <cellStyle name="40% - Accent6 2 8 2 2" xfId="1889" xr:uid="{00000000-0005-0000-0000-0000E6050000}"/>
    <cellStyle name="40% - Accent6 2 8 3" xfId="1890" xr:uid="{00000000-0005-0000-0000-0000E7050000}"/>
    <cellStyle name="40% - Accent6 2 8_Derivatives" xfId="1891" xr:uid="{00000000-0005-0000-0000-0000E8050000}"/>
    <cellStyle name="40% - Accent6 2 9" xfId="1892" xr:uid="{00000000-0005-0000-0000-0000E9050000}"/>
    <cellStyle name="40% - Accent6 2 9 2" xfId="1893" xr:uid="{00000000-0005-0000-0000-0000EA050000}"/>
    <cellStyle name="40% - Accent6 2 9 2 2" xfId="1894" xr:uid="{00000000-0005-0000-0000-0000EB050000}"/>
    <cellStyle name="40% - Accent6 2 9 3" xfId="1895" xr:uid="{00000000-0005-0000-0000-0000EC050000}"/>
    <cellStyle name="40% - Accent6 2_5130_new" xfId="1896" xr:uid="{00000000-0005-0000-0000-0000ED050000}"/>
    <cellStyle name="40% - Accent6 3" xfId="90" xr:uid="{00000000-0005-0000-0000-0000EE050000}"/>
    <cellStyle name="40% - Accent6 3 10" xfId="1897" xr:uid="{00000000-0005-0000-0000-0000EF050000}"/>
    <cellStyle name="40% - Accent6 3 11" xfId="6774" xr:uid="{BA0176D5-82C2-4A9A-8870-07ED69008013}"/>
    <cellStyle name="40% - Accent6 3 12" xfId="6775" xr:uid="{3CDF33AA-7DB6-4C16-9E6C-5DB2FD8026A5}"/>
    <cellStyle name="40% - Accent6 3 13" xfId="6776" xr:uid="{9E6186F6-C55F-4B55-9111-2D6E546D7C5C}"/>
    <cellStyle name="40% - Accent6 3 14" xfId="6777" xr:uid="{05657929-0D0C-4732-A95F-A98EBB5209B7}"/>
    <cellStyle name="40% - Accent6 3 15" xfId="6778" xr:uid="{30AC4822-BAEA-43D7-87D7-64F2A0762AC9}"/>
    <cellStyle name="40% - Accent6 3 16" xfId="6779" xr:uid="{23767B66-FF13-4182-AB7D-2A00A5564451}"/>
    <cellStyle name="40% - Accent6 3 17" xfId="6780" xr:uid="{4F396F64-E809-4607-B379-8D0A432F79F6}"/>
    <cellStyle name="40% - Accent6 3 18" xfId="6781" xr:uid="{A2601403-EC3B-47F3-837A-2B701305571F}"/>
    <cellStyle name="40% - Accent6 3 19" xfId="6782" xr:uid="{D1C95797-7F4A-47A0-9BCC-5C8DB186C4CB}"/>
    <cellStyle name="40% - Accent6 3 2" xfId="1898" xr:uid="{00000000-0005-0000-0000-0000F0050000}"/>
    <cellStyle name="40% - Accent6 3 2 2" xfId="1899" xr:uid="{00000000-0005-0000-0000-0000F1050000}"/>
    <cellStyle name="40% - Accent6 3 2 2 2" xfId="1900" xr:uid="{00000000-0005-0000-0000-0000F2050000}"/>
    <cellStyle name="40% - Accent6 3 2 3" xfId="1901" xr:uid="{00000000-0005-0000-0000-0000F3050000}"/>
    <cellStyle name="40% - Accent6 3 2_Cash flow" xfId="6783" xr:uid="{23A9A000-AEB4-4F2B-9494-811A0776E2AD}"/>
    <cellStyle name="40% - Accent6 3 20" xfId="6784" xr:uid="{28DCA0CF-FD00-4F3A-B74F-1996BD5B60B8}"/>
    <cellStyle name="40% - Accent6 3 21" xfId="6785" xr:uid="{5E903D10-3A52-4FF4-894E-45279A90C2C5}"/>
    <cellStyle name="40% - Accent6 3 22" xfId="6786" xr:uid="{48EAF525-A9C1-46B3-81F7-7B8EC87916E1}"/>
    <cellStyle name="40% - Accent6 3 23" xfId="6787" xr:uid="{EADEEABB-006E-4077-8523-A9AEB5B951FF}"/>
    <cellStyle name="40% - Accent6 3 24" xfId="6788" xr:uid="{4B8F8595-A7A9-4F2E-BCAF-04338A5B8532}"/>
    <cellStyle name="40% - Accent6 3 25" xfId="6789" xr:uid="{AAEBC710-894B-4243-A485-2C3D6B7C1947}"/>
    <cellStyle name="40% - Accent6 3 26" xfId="6790" xr:uid="{50C6738D-0425-4993-955A-08A8500851D1}"/>
    <cellStyle name="40% - Accent6 3 3" xfId="1902" xr:uid="{00000000-0005-0000-0000-0000F5050000}"/>
    <cellStyle name="40% - Accent6 3 4" xfId="1903" xr:uid="{00000000-0005-0000-0000-0000F6050000}"/>
    <cellStyle name="40% - Accent6 3 5" xfId="1904" xr:uid="{00000000-0005-0000-0000-0000F7050000}"/>
    <cellStyle name="40% - Accent6 3 6" xfId="1905" xr:uid="{00000000-0005-0000-0000-0000F8050000}"/>
    <cellStyle name="40% - Accent6 3 7" xfId="1906" xr:uid="{00000000-0005-0000-0000-0000F9050000}"/>
    <cellStyle name="40% - Accent6 3 8" xfId="1907" xr:uid="{00000000-0005-0000-0000-0000FA050000}"/>
    <cellStyle name="40% - Accent6 3 9" xfId="1908" xr:uid="{00000000-0005-0000-0000-0000FB050000}"/>
    <cellStyle name="40% - Accent6 3 9 2" xfId="1909" xr:uid="{00000000-0005-0000-0000-0000FC050000}"/>
    <cellStyle name="40% - Accent6 3 9_Cash flow" xfId="6791" xr:uid="{96627DB4-262E-4D88-B7F0-3919EBA5F1D1}"/>
    <cellStyle name="40% - Accent6 3_Australia Results" xfId="6792" xr:uid="{8751618B-BBCB-4B5B-B936-5D0F7E19F6A7}"/>
    <cellStyle name="40% - Accent6 4" xfId="91" xr:uid="{00000000-0005-0000-0000-0000FE050000}"/>
    <cellStyle name="40% - Accent6 4 10" xfId="1910" xr:uid="{00000000-0005-0000-0000-0000FF050000}"/>
    <cellStyle name="40% - Accent6 4 2" xfId="1911" xr:uid="{00000000-0005-0000-0000-000000060000}"/>
    <cellStyle name="40% - Accent6 4 2 2" xfId="1912" xr:uid="{00000000-0005-0000-0000-000001060000}"/>
    <cellStyle name="40% - Accent6 4 2 2 2" xfId="1913" xr:uid="{00000000-0005-0000-0000-000002060000}"/>
    <cellStyle name="40% - Accent6 4 2 3" xfId="1914" xr:uid="{00000000-0005-0000-0000-000003060000}"/>
    <cellStyle name="40% - Accent6 4 2_EQU" xfId="1915" xr:uid="{00000000-0005-0000-0000-000004060000}"/>
    <cellStyle name="40% - Accent6 4 3" xfId="1916" xr:uid="{00000000-0005-0000-0000-000005060000}"/>
    <cellStyle name="40% - Accent6 4 4" xfId="1917" xr:uid="{00000000-0005-0000-0000-000006060000}"/>
    <cellStyle name="40% - Accent6 4 5" xfId="1918" xr:uid="{00000000-0005-0000-0000-000007060000}"/>
    <cellStyle name="40% - Accent6 4 6" xfId="1919" xr:uid="{00000000-0005-0000-0000-000008060000}"/>
    <cellStyle name="40% - Accent6 4 7" xfId="1920" xr:uid="{00000000-0005-0000-0000-000009060000}"/>
    <cellStyle name="40% - Accent6 4 8" xfId="1921" xr:uid="{00000000-0005-0000-0000-00000A060000}"/>
    <cellStyle name="40% - Accent6 4 9" xfId="1922" xr:uid="{00000000-0005-0000-0000-00000B060000}"/>
    <cellStyle name="40% - Accent6 4 9 2" xfId="1923" xr:uid="{00000000-0005-0000-0000-00000C060000}"/>
    <cellStyle name="40% - Accent6 4_Australia Results" xfId="6793" xr:uid="{19272350-0EC9-496B-8175-28EB84FE52BA}"/>
    <cellStyle name="40% - Accent6 5" xfId="92" xr:uid="{00000000-0005-0000-0000-00000E060000}"/>
    <cellStyle name="40% - Accent6 5 2" xfId="1924" xr:uid="{00000000-0005-0000-0000-00000F060000}"/>
    <cellStyle name="40% - Accent6 5 2 2" xfId="1925" xr:uid="{00000000-0005-0000-0000-000010060000}"/>
    <cellStyle name="40% - Accent6 5 2 2 2" xfId="1926" xr:uid="{00000000-0005-0000-0000-000011060000}"/>
    <cellStyle name="40% - Accent6 5 2 3" xfId="1927" xr:uid="{00000000-0005-0000-0000-000012060000}"/>
    <cellStyle name="40% - Accent6 5 2_Cash flow" xfId="6795" xr:uid="{7F18D441-1C28-4D66-B294-5C8218EE82C3}"/>
    <cellStyle name="40% - Accent6 5 3" xfId="1928" xr:uid="{00000000-0005-0000-0000-000013060000}"/>
    <cellStyle name="40% - Accent6 5 3 2" xfId="1929" xr:uid="{00000000-0005-0000-0000-000014060000}"/>
    <cellStyle name="40% - Accent6 5 4" xfId="1930" xr:uid="{00000000-0005-0000-0000-000015060000}"/>
    <cellStyle name="40% - Accent6 5_Cash flow" xfId="6794" xr:uid="{0A8B9166-236B-4552-85D7-BB2EB8FD7F01}"/>
    <cellStyle name="40% - Accent6 6" xfId="1931" xr:uid="{00000000-0005-0000-0000-000017060000}"/>
    <cellStyle name="40% - Accent6 6 2" xfId="1932" xr:uid="{00000000-0005-0000-0000-000018060000}"/>
    <cellStyle name="40% - Accent6 6 2 2" xfId="1933" xr:uid="{00000000-0005-0000-0000-000019060000}"/>
    <cellStyle name="40% - Accent6 6 2 2 2" xfId="1934" xr:uid="{00000000-0005-0000-0000-00001A060000}"/>
    <cellStyle name="40% - Accent6 6 2 3" xfId="1935" xr:uid="{00000000-0005-0000-0000-00001B060000}"/>
    <cellStyle name="40% - Accent6 6 2_Cash flow" xfId="6797" xr:uid="{4589241D-059E-4282-ADD4-7753D681F48B}"/>
    <cellStyle name="40% - Accent6 6 3" xfId="1936" xr:uid="{00000000-0005-0000-0000-00001C060000}"/>
    <cellStyle name="40% - Accent6 6 3 2" xfId="1937" xr:uid="{00000000-0005-0000-0000-00001D060000}"/>
    <cellStyle name="40% - Accent6 6 4" xfId="1938" xr:uid="{00000000-0005-0000-0000-00001E060000}"/>
    <cellStyle name="40% - Accent6 6_Cash flow" xfId="6796" xr:uid="{66240D8A-32ED-4D32-BC06-5379039FBEFB}"/>
    <cellStyle name="40% - Accent6 7" xfId="1939" xr:uid="{00000000-0005-0000-0000-000020060000}"/>
    <cellStyle name="40% - Accent6 7 2" xfId="1940" xr:uid="{00000000-0005-0000-0000-000021060000}"/>
    <cellStyle name="40% - Accent6 7 2 2" xfId="1941" xr:uid="{00000000-0005-0000-0000-000022060000}"/>
    <cellStyle name="40% - Accent6 7 3" xfId="1942" xr:uid="{00000000-0005-0000-0000-000023060000}"/>
    <cellStyle name="40% - Accent6 7_Cash flow" xfId="6798" xr:uid="{A0AB45D4-B56F-4DB7-B1B9-B03DB1C3FD74}"/>
    <cellStyle name="40% - Accent6 8" xfId="1943" xr:uid="{00000000-0005-0000-0000-000025060000}"/>
    <cellStyle name="40% - Accent6 9" xfId="1944" xr:uid="{00000000-0005-0000-0000-000026060000}"/>
    <cellStyle name="40% - Akzent1" xfId="6799" xr:uid="{6A5E7882-9508-4535-85C3-56EA4E9F75A3}"/>
    <cellStyle name="40% - Akzent2" xfId="6800" xr:uid="{87FA944C-E73A-4A76-923A-3D93F84FF801}"/>
    <cellStyle name="40% - Akzent3" xfId="6801" xr:uid="{195A3811-D4D7-4497-ADCC-0180C6FEB984}"/>
    <cellStyle name="40% - Akzent4" xfId="6802" xr:uid="{8C867308-245B-46D9-A68F-8298DA18D3E1}"/>
    <cellStyle name="40% - Akzent5" xfId="6803" xr:uid="{88E4EB56-C6CC-4D63-A447-47323F6B4B56}"/>
    <cellStyle name="40% - Akzent6" xfId="6804" xr:uid="{69A50EF5-4C40-4302-BC8B-1DACB358C2DF}"/>
    <cellStyle name="40% - Ênfase1" xfId="6805" xr:uid="{3F437595-1EB1-4197-A328-5F37F0E60996}"/>
    <cellStyle name="40% - Ênfase2" xfId="6806" xr:uid="{95219861-3CF5-4129-AE89-D7CB16D40E6C}"/>
    <cellStyle name="40% - Ênfase3" xfId="6807" xr:uid="{72C65512-AEA4-4974-BC8B-6E2F7C531FFA}"/>
    <cellStyle name="40% - Ênfase4" xfId="6808" xr:uid="{CB8A69C9-7FDD-40B1-B8B6-A964D4A5E774}"/>
    <cellStyle name="40% - Ênfase5" xfId="6809" xr:uid="{D31D6E5E-4675-4171-A06D-2BC8E2067F2B}"/>
    <cellStyle name="40% - Ênfase6" xfId="6810" xr:uid="{131F5B44-4F9B-4A66-AF2F-A2E03F69FA4D}"/>
    <cellStyle name="40% - Énfasis1" xfId="6811" xr:uid="{07BFF9B8-0A64-4ED6-8B96-44E833FD3FA8}"/>
    <cellStyle name="40% - Énfasis2" xfId="6812" xr:uid="{8A11113A-8E69-48F3-A3D5-230CA394FC40}"/>
    <cellStyle name="40% - Énfasis3" xfId="6813" xr:uid="{35BF09DB-3358-46CB-810B-57C3B0A4F445}"/>
    <cellStyle name="40% - Énfasis4" xfId="6814" xr:uid="{63CF948C-14DA-4C4C-B121-514733382952}"/>
    <cellStyle name="40% - Énfasis5" xfId="6815" xr:uid="{D8507658-0490-463A-88C0-787F683F1348}"/>
    <cellStyle name="40% - Énfasis6" xfId="6816" xr:uid="{3166CDD4-59E5-4527-A9DE-23DCE00D8BB8}"/>
    <cellStyle name="60 % - Akzent1" xfId="6817" xr:uid="{2FF68A8F-6519-4182-9743-D23BAF3B038B}"/>
    <cellStyle name="60 % - Akzent1 2" xfId="6818" xr:uid="{76C7EC04-703D-4ADE-891E-4716771C53BB}"/>
    <cellStyle name="60 % - Akzent2" xfId="6819" xr:uid="{44081CD0-491A-4C3C-963E-CA5ED5210CE5}"/>
    <cellStyle name="60 % - Akzent2 2" xfId="6820" xr:uid="{7DA6B360-F910-4C94-B5D5-0491A1519ED1}"/>
    <cellStyle name="60 % - Akzent3" xfId="6821" xr:uid="{ED25A446-324E-4EFE-90BA-D3FBD26FD3BE}"/>
    <cellStyle name="60 % - Akzent3 2" xfId="6822" xr:uid="{E83A5A04-983E-4456-8C57-4BCC8D2BF73E}"/>
    <cellStyle name="60 % - Akzent4" xfId="6823" xr:uid="{85EF74A3-2105-4A11-848F-BE87B4AE84AC}"/>
    <cellStyle name="60 % - Akzent4 2" xfId="6824" xr:uid="{7315B974-F68E-4A56-8CBE-D984BDB648B7}"/>
    <cellStyle name="60 % - Akzent5" xfId="6825" xr:uid="{91077860-54E4-40D0-994A-C74D7329A908}"/>
    <cellStyle name="60 % - Akzent5 2" xfId="6826" xr:uid="{592FA245-FBA9-402E-AA62-338DBE48DBCF}"/>
    <cellStyle name="60 % - Akzent6" xfId="6827" xr:uid="{A7D84B66-ECE9-4696-AA81-2BDB5FA6E8C5}"/>
    <cellStyle name="60 % - Akzent6 2" xfId="6828" xr:uid="{0B6FF856-1974-4241-9819-D703FFB3C883}"/>
    <cellStyle name="60 % - Accent1" xfId="93" xr:uid="{00000000-0005-0000-0000-000027060000}"/>
    <cellStyle name="60 % - Accent2" xfId="94" xr:uid="{00000000-0005-0000-0000-000028060000}"/>
    <cellStyle name="60 % - Accent3" xfId="95" xr:uid="{00000000-0005-0000-0000-000029060000}"/>
    <cellStyle name="60 % - Accent4" xfId="96" xr:uid="{00000000-0005-0000-0000-00002A060000}"/>
    <cellStyle name="60 % - Accent5" xfId="97" xr:uid="{00000000-0005-0000-0000-00002B060000}"/>
    <cellStyle name="60 % - Accent6" xfId="98" xr:uid="{00000000-0005-0000-0000-00002C060000}"/>
    <cellStyle name="60% - Accent1 10" xfId="1945" xr:uid="{00000000-0005-0000-0000-00002D060000}"/>
    <cellStyle name="60% - Accent1 11" xfId="1946" xr:uid="{00000000-0005-0000-0000-00002E060000}"/>
    <cellStyle name="60% - Accent1 12" xfId="1947" xr:uid="{00000000-0005-0000-0000-00002F060000}"/>
    <cellStyle name="60% - Accent1 13" xfId="1948" xr:uid="{00000000-0005-0000-0000-000030060000}"/>
    <cellStyle name="60% - Accent1 14" xfId="6829" xr:uid="{CAC35915-97F4-48A0-BF89-EAC3B4DD6F52}"/>
    <cellStyle name="60% - Accent1 2" xfId="99" xr:uid="{00000000-0005-0000-0000-000031060000}"/>
    <cellStyle name="60% - Accent1 2 10" xfId="1949" xr:uid="{00000000-0005-0000-0000-000032060000}"/>
    <cellStyle name="60% - Accent1 2 11" xfId="1950" xr:uid="{00000000-0005-0000-0000-000033060000}"/>
    <cellStyle name="60% - Accent1 2 12" xfId="1951" xr:uid="{00000000-0005-0000-0000-000034060000}"/>
    <cellStyle name="60% - Accent1 2 13" xfId="1952" xr:uid="{00000000-0005-0000-0000-000035060000}"/>
    <cellStyle name="60% - Accent1 2 14" xfId="1953" xr:uid="{00000000-0005-0000-0000-000036060000}"/>
    <cellStyle name="60% - Accent1 2 15" xfId="1954" xr:uid="{00000000-0005-0000-0000-000037060000}"/>
    <cellStyle name="60% - Accent1 2 16" xfId="1955" xr:uid="{00000000-0005-0000-0000-000038060000}"/>
    <cellStyle name="60% - Accent1 2 17" xfId="1956" xr:uid="{00000000-0005-0000-0000-000039060000}"/>
    <cellStyle name="60% - Accent1 2 18" xfId="1957" xr:uid="{00000000-0005-0000-0000-00003A060000}"/>
    <cellStyle name="60% - Accent1 2 2" xfId="1958" xr:uid="{00000000-0005-0000-0000-00003B060000}"/>
    <cellStyle name="60% - Accent1 2 2 10" xfId="1959" xr:uid="{00000000-0005-0000-0000-00003C060000}"/>
    <cellStyle name="60% - Accent1 2 2 11" xfId="1960" xr:uid="{00000000-0005-0000-0000-00003D060000}"/>
    <cellStyle name="60% - Accent1 2 2 12" xfId="1961" xr:uid="{00000000-0005-0000-0000-00003E060000}"/>
    <cellStyle name="60% - Accent1 2 2 13" xfId="1962" xr:uid="{00000000-0005-0000-0000-00003F060000}"/>
    <cellStyle name="60% - Accent1 2 2 14" xfId="1963" xr:uid="{00000000-0005-0000-0000-000040060000}"/>
    <cellStyle name="60% - Accent1 2 2 15" xfId="1964" xr:uid="{00000000-0005-0000-0000-000041060000}"/>
    <cellStyle name="60% - Accent1 2 2 16" xfId="1965" xr:uid="{00000000-0005-0000-0000-000042060000}"/>
    <cellStyle name="60% - Accent1 2 2 17" xfId="1966" xr:uid="{00000000-0005-0000-0000-000043060000}"/>
    <cellStyle name="60% - Accent1 2 2 18" xfId="1967" xr:uid="{00000000-0005-0000-0000-000044060000}"/>
    <cellStyle name="60% - Accent1 2 2 2" xfId="1968" xr:uid="{00000000-0005-0000-0000-000045060000}"/>
    <cellStyle name="60% - Accent1 2 2 3" xfId="1969" xr:uid="{00000000-0005-0000-0000-000046060000}"/>
    <cellStyle name="60% - Accent1 2 2 4" xfId="1970" xr:uid="{00000000-0005-0000-0000-000047060000}"/>
    <cellStyle name="60% - Accent1 2 2 5" xfId="1971" xr:uid="{00000000-0005-0000-0000-000048060000}"/>
    <cellStyle name="60% - Accent1 2 2 6" xfId="1972" xr:uid="{00000000-0005-0000-0000-000049060000}"/>
    <cellStyle name="60% - Accent1 2 2 7" xfId="1973" xr:uid="{00000000-0005-0000-0000-00004A060000}"/>
    <cellStyle name="60% - Accent1 2 2 8" xfId="1974" xr:uid="{00000000-0005-0000-0000-00004B060000}"/>
    <cellStyle name="60% - Accent1 2 2 9" xfId="1975" xr:uid="{00000000-0005-0000-0000-00004C060000}"/>
    <cellStyle name="60% - Accent1 2 2_Cash flow" xfId="6830" xr:uid="{4C2167F6-1699-4774-94B2-7912CEBBB9FE}"/>
    <cellStyle name="60% - Accent1 2 3" xfId="1976" xr:uid="{00000000-0005-0000-0000-00004E060000}"/>
    <cellStyle name="60% - Accent1 2 4" xfId="1977" xr:uid="{00000000-0005-0000-0000-00004F060000}"/>
    <cellStyle name="60% - Accent1 2 5" xfId="1978" xr:uid="{00000000-0005-0000-0000-000050060000}"/>
    <cellStyle name="60% - Accent1 2 6" xfId="1979" xr:uid="{00000000-0005-0000-0000-000051060000}"/>
    <cellStyle name="60% - Accent1 2 7" xfId="1980" xr:uid="{00000000-0005-0000-0000-000052060000}"/>
    <cellStyle name="60% - Accent1 2 8" xfId="1981" xr:uid="{00000000-0005-0000-0000-000053060000}"/>
    <cellStyle name="60% - Accent1 2 9" xfId="1982" xr:uid="{00000000-0005-0000-0000-000054060000}"/>
    <cellStyle name="60% - Accent1 2_5130_new" xfId="1983" xr:uid="{00000000-0005-0000-0000-000055060000}"/>
    <cellStyle name="60% - Accent1 3" xfId="100" xr:uid="{00000000-0005-0000-0000-000056060000}"/>
    <cellStyle name="60% - Accent1 3 2" xfId="1984" xr:uid="{00000000-0005-0000-0000-000057060000}"/>
    <cellStyle name="60% - Accent1 3 3" xfId="1985" xr:uid="{00000000-0005-0000-0000-000058060000}"/>
    <cellStyle name="60% - Accent1 3 4" xfId="1986" xr:uid="{00000000-0005-0000-0000-000059060000}"/>
    <cellStyle name="60% - Accent1 3_Australia Results" xfId="6831" xr:uid="{CD2C9CC4-67E3-4BC1-B07C-68D26FE9509C}"/>
    <cellStyle name="60% - Accent1 4" xfId="101" xr:uid="{00000000-0005-0000-0000-00005B060000}"/>
    <cellStyle name="60% - Accent1 4 2" xfId="1987" xr:uid="{00000000-0005-0000-0000-00005C060000}"/>
    <cellStyle name="60% - Accent1 4_Australia Results" xfId="6832" xr:uid="{1C3594A3-5D7B-4A1B-ABA6-CB2AEF23DF24}"/>
    <cellStyle name="60% - Accent1 5" xfId="102" xr:uid="{00000000-0005-0000-0000-00005E060000}"/>
    <cellStyle name="60% - Accent1 6" xfId="1988" xr:uid="{00000000-0005-0000-0000-00005F060000}"/>
    <cellStyle name="60% - Accent1 7" xfId="1989" xr:uid="{00000000-0005-0000-0000-000060060000}"/>
    <cellStyle name="60% - Accent1 8" xfId="1990" xr:uid="{00000000-0005-0000-0000-000061060000}"/>
    <cellStyle name="60% - Accent1 9" xfId="1991" xr:uid="{00000000-0005-0000-0000-000062060000}"/>
    <cellStyle name="60% - Accent2 10" xfId="1992" xr:uid="{00000000-0005-0000-0000-000063060000}"/>
    <cellStyle name="60% - Accent2 11" xfId="1993" xr:uid="{00000000-0005-0000-0000-000064060000}"/>
    <cellStyle name="60% - Accent2 12" xfId="1994" xr:uid="{00000000-0005-0000-0000-000065060000}"/>
    <cellStyle name="60% - Accent2 13" xfId="1995" xr:uid="{00000000-0005-0000-0000-000066060000}"/>
    <cellStyle name="60% - Accent2 14" xfId="6833" xr:uid="{E4667F14-033E-415C-A2C9-A9DF0B8537DD}"/>
    <cellStyle name="60% - Accent2 2" xfId="103" xr:uid="{00000000-0005-0000-0000-000067060000}"/>
    <cellStyle name="60% - Accent2 2 10" xfId="1996" xr:uid="{00000000-0005-0000-0000-000068060000}"/>
    <cellStyle name="60% - Accent2 2 11" xfId="1997" xr:uid="{00000000-0005-0000-0000-000069060000}"/>
    <cellStyle name="60% - Accent2 2 12" xfId="1998" xr:uid="{00000000-0005-0000-0000-00006A060000}"/>
    <cellStyle name="60% - Accent2 2 13" xfId="1999" xr:uid="{00000000-0005-0000-0000-00006B060000}"/>
    <cellStyle name="60% - Accent2 2 14" xfId="2000" xr:uid="{00000000-0005-0000-0000-00006C060000}"/>
    <cellStyle name="60% - Accent2 2 15" xfId="2001" xr:uid="{00000000-0005-0000-0000-00006D060000}"/>
    <cellStyle name="60% - Accent2 2 16" xfId="2002" xr:uid="{00000000-0005-0000-0000-00006E060000}"/>
    <cellStyle name="60% - Accent2 2 17" xfId="2003" xr:uid="{00000000-0005-0000-0000-00006F060000}"/>
    <cellStyle name="60% - Accent2 2 18" xfId="2004" xr:uid="{00000000-0005-0000-0000-000070060000}"/>
    <cellStyle name="60% - Accent2 2 2" xfId="2005" xr:uid="{00000000-0005-0000-0000-000071060000}"/>
    <cellStyle name="60% - Accent2 2 2 10" xfId="2006" xr:uid="{00000000-0005-0000-0000-000072060000}"/>
    <cellStyle name="60% - Accent2 2 2 11" xfId="2007" xr:uid="{00000000-0005-0000-0000-000073060000}"/>
    <cellStyle name="60% - Accent2 2 2 12" xfId="2008" xr:uid="{00000000-0005-0000-0000-000074060000}"/>
    <cellStyle name="60% - Accent2 2 2 13" xfId="2009" xr:uid="{00000000-0005-0000-0000-000075060000}"/>
    <cellStyle name="60% - Accent2 2 2 14" xfId="2010" xr:uid="{00000000-0005-0000-0000-000076060000}"/>
    <cellStyle name="60% - Accent2 2 2 15" xfId="2011" xr:uid="{00000000-0005-0000-0000-000077060000}"/>
    <cellStyle name="60% - Accent2 2 2 16" xfId="2012" xr:uid="{00000000-0005-0000-0000-000078060000}"/>
    <cellStyle name="60% - Accent2 2 2 17" xfId="2013" xr:uid="{00000000-0005-0000-0000-000079060000}"/>
    <cellStyle name="60% - Accent2 2 2 18" xfId="2014" xr:uid="{00000000-0005-0000-0000-00007A060000}"/>
    <cellStyle name="60% - Accent2 2 2 2" xfId="2015" xr:uid="{00000000-0005-0000-0000-00007B060000}"/>
    <cellStyle name="60% - Accent2 2 2 3" xfId="2016" xr:uid="{00000000-0005-0000-0000-00007C060000}"/>
    <cellStyle name="60% - Accent2 2 2 4" xfId="2017" xr:uid="{00000000-0005-0000-0000-00007D060000}"/>
    <cellStyle name="60% - Accent2 2 2 5" xfId="2018" xr:uid="{00000000-0005-0000-0000-00007E060000}"/>
    <cellStyle name="60% - Accent2 2 2 6" xfId="2019" xr:uid="{00000000-0005-0000-0000-00007F060000}"/>
    <cellStyle name="60% - Accent2 2 2 7" xfId="2020" xr:uid="{00000000-0005-0000-0000-000080060000}"/>
    <cellStyle name="60% - Accent2 2 2 8" xfId="2021" xr:uid="{00000000-0005-0000-0000-000081060000}"/>
    <cellStyle name="60% - Accent2 2 2 9" xfId="2022" xr:uid="{00000000-0005-0000-0000-000082060000}"/>
    <cellStyle name="60% - Accent2 2 2_Equity reconciliation 2013-03" xfId="2023" xr:uid="{00000000-0005-0000-0000-000083060000}"/>
    <cellStyle name="60% - Accent2 2 3" xfId="2024" xr:uid="{00000000-0005-0000-0000-000084060000}"/>
    <cellStyle name="60% - Accent2 2 4" xfId="2025" xr:uid="{00000000-0005-0000-0000-000085060000}"/>
    <cellStyle name="60% - Accent2 2 5" xfId="2026" xr:uid="{00000000-0005-0000-0000-000086060000}"/>
    <cellStyle name="60% - Accent2 2 6" xfId="2027" xr:uid="{00000000-0005-0000-0000-000087060000}"/>
    <cellStyle name="60% - Accent2 2 7" xfId="2028" xr:uid="{00000000-0005-0000-0000-000088060000}"/>
    <cellStyle name="60% - Accent2 2 8" xfId="2029" xr:uid="{00000000-0005-0000-0000-000089060000}"/>
    <cellStyle name="60% - Accent2 2 9" xfId="2030" xr:uid="{00000000-0005-0000-0000-00008A060000}"/>
    <cellStyle name="60% - Accent2 2_5130_new" xfId="2031" xr:uid="{00000000-0005-0000-0000-00008B060000}"/>
    <cellStyle name="60% - Accent2 3" xfId="104" xr:uid="{00000000-0005-0000-0000-00008C060000}"/>
    <cellStyle name="60% - Accent2 3 2" xfId="2032" xr:uid="{00000000-0005-0000-0000-00008D060000}"/>
    <cellStyle name="60% - Accent2 3_Australia Results" xfId="6834" xr:uid="{91448C23-BC33-420E-A80F-E95F181EB2AC}"/>
    <cellStyle name="60% - Accent2 4" xfId="105" xr:uid="{00000000-0005-0000-0000-00008F060000}"/>
    <cellStyle name="60% - Accent2 4 2" xfId="2033" xr:uid="{00000000-0005-0000-0000-000090060000}"/>
    <cellStyle name="60% - Accent2 4_Australia Results" xfId="6835" xr:uid="{0982C539-8082-4666-977B-19D0FDB95DAC}"/>
    <cellStyle name="60% - Accent2 5" xfId="106" xr:uid="{00000000-0005-0000-0000-000092060000}"/>
    <cellStyle name="60% - Accent2 6" xfId="2034" xr:uid="{00000000-0005-0000-0000-000093060000}"/>
    <cellStyle name="60% - Accent2 7" xfId="2035" xr:uid="{00000000-0005-0000-0000-000094060000}"/>
    <cellStyle name="60% - Accent2 8" xfId="2036" xr:uid="{00000000-0005-0000-0000-000095060000}"/>
    <cellStyle name="60% - Accent2 9" xfId="2037" xr:uid="{00000000-0005-0000-0000-000096060000}"/>
    <cellStyle name="60% - Accent3 10" xfId="2038" xr:uid="{00000000-0005-0000-0000-000097060000}"/>
    <cellStyle name="60% - Accent3 11" xfId="2039" xr:uid="{00000000-0005-0000-0000-000098060000}"/>
    <cellStyle name="60% - Accent3 12" xfId="2040" xr:uid="{00000000-0005-0000-0000-000099060000}"/>
    <cellStyle name="60% - Accent3 13" xfId="2041" xr:uid="{00000000-0005-0000-0000-00009A060000}"/>
    <cellStyle name="60% - Accent3 14" xfId="6836" xr:uid="{45D45E99-B9EA-40B1-BA38-78A0735A6BFF}"/>
    <cellStyle name="60% - Accent3 2" xfId="107" xr:uid="{00000000-0005-0000-0000-00009B060000}"/>
    <cellStyle name="60% - Accent3 2 10" xfId="2042" xr:uid="{00000000-0005-0000-0000-00009C060000}"/>
    <cellStyle name="60% - Accent3 2 11" xfId="2043" xr:uid="{00000000-0005-0000-0000-00009D060000}"/>
    <cellStyle name="60% - Accent3 2 12" xfId="2044" xr:uid="{00000000-0005-0000-0000-00009E060000}"/>
    <cellStyle name="60% - Accent3 2 13" xfId="2045" xr:uid="{00000000-0005-0000-0000-00009F060000}"/>
    <cellStyle name="60% - Accent3 2 14" xfId="2046" xr:uid="{00000000-0005-0000-0000-0000A0060000}"/>
    <cellStyle name="60% - Accent3 2 15" xfId="2047" xr:uid="{00000000-0005-0000-0000-0000A1060000}"/>
    <cellStyle name="60% - Accent3 2 16" xfId="2048" xr:uid="{00000000-0005-0000-0000-0000A2060000}"/>
    <cellStyle name="60% - Accent3 2 17" xfId="2049" xr:uid="{00000000-0005-0000-0000-0000A3060000}"/>
    <cellStyle name="60% - Accent3 2 18" xfId="2050" xr:uid="{00000000-0005-0000-0000-0000A4060000}"/>
    <cellStyle name="60% - Accent3 2 2" xfId="2051" xr:uid="{00000000-0005-0000-0000-0000A5060000}"/>
    <cellStyle name="60% - Accent3 2 2 10" xfId="2052" xr:uid="{00000000-0005-0000-0000-0000A6060000}"/>
    <cellStyle name="60% - Accent3 2 2 11" xfId="2053" xr:uid="{00000000-0005-0000-0000-0000A7060000}"/>
    <cellStyle name="60% - Accent3 2 2 12" xfId="2054" xr:uid="{00000000-0005-0000-0000-0000A8060000}"/>
    <cellStyle name="60% - Accent3 2 2 13" xfId="2055" xr:uid="{00000000-0005-0000-0000-0000A9060000}"/>
    <cellStyle name="60% - Accent3 2 2 14" xfId="2056" xr:uid="{00000000-0005-0000-0000-0000AA060000}"/>
    <cellStyle name="60% - Accent3 2 2 15" xfId="2057" xr:uid="{00000000-0005-0000-0000-0000AB060000}"/>
    <cellStyle name="60% - Accent3 2 2 16" xfId="2058" xr:uid="{00000000-0005-0000-0000-0000AC060000}"/>
    <cellStyle name="60% - Accent3 2 2 17" xfId="2059" xr:uid="{00000000-0005-0000-0000-0000AD060000}"/>
    <cellStyle name="60% - Accent3 2 2 18" xfId="2060" xr:uid="{00000000-0005-0000-0000-0000AE060000}"/>
    <cellStyle name="60% - Accent3 2 2 2" xfId="2061" xr:uid="{00000000-0005-0000-0000-0000AF060000}"/>
    <cellStyle name="60% - Accent3 2 2 3" xfId="2062" xr:uid="{00000000-0005-0000-0000-0000B0060000}"/>
    <cellStyle name="60% - Accent3 2 2 4" xfId="2063" xr:uid="{00000000-0005-0000-0000-0000B1060000}"/>
    <cellStyle name="60% - Accent3 2 2 5" xfId="2064" xr:uid="{00000000-0005-0000-0000-0000B2060000}"/>
    <cellStyle name="60% - Accent3 2 2 6" xfId="2065" xr:uid="{00000000-0005-0000-0000-0000B3060000}"/>
    <cellStyle name="60% - Accent3 2 2 7" xfId="2066" xr:uid="{00000000-0005-0000-0000-0000B4060000}"/>
    <cellStyle name="60% - Accent3 2 2 8" xfId="2067" xr:uid="{00000000-0005-0000-0000-0000B5060000}"/>
    <cellStyle name="60% - Accent3 2 2 9" xfId="2068" xr:uid="{00000000-0005-0000-0000-0000B6060000}"/>
    <cellStyle name="60% - Accent3 2 2_Cash flow" xfId="6837" xr:uid="{735AB122-F1E9-4674-ADAD-B2FDF95B34D2}"/>
    <cellStyle name="60% - Accent3 2 3" xfId="2069" xr:uid="{00000000-0005-0000-0000-0000B8060000}"/>
    <cellStyle name="60% - Accent3 2 4" xfId="2070" xr:uid="{00000000-0005-0000-0000-0000B9060000}"/>
    <cellStyle name="60% - Accent3 2 5" xfId="2071" xr:uid="{00000000-0005-0000-0000-0000BA060000}"/>
    <cellStyle name="60% - Accent3 2 6" xfId="2072" xr:uid="{00000000-0005-0000-0000-0000BB060000}"/>
    <cellStyle name="60% - Accent3 2 7" xfId="2073" xr:uid="{00000000-0005-0000-0000-0000BC060000}"/>
    <cellStyle name="60% - Accent3 2 8" xfId="2074" xr:uid="{00000000-0005-0000-0000-0000BD060000}"/>
    <cellStyle name="60% - Accent3 2 9" xfId="2075" xr:uid="{00000000-0005-0000-0000-0000BE060000}"/>
    <cellStyle name="60% - Accent3 2_5130_new" xfId="2076" xr:uid="{00000000-0005-0000-0000-0000BF060000}"/>
    <cellStyle name="60% - Accent3 3" xfId="108" xr:uid="{00000000-0005-0000-0000-0000C0060000}"/>
    <cellStyle name="60% - Accent3 3 2" xfId="2077" xr:uid="{00000000-0005-0000-0000-0000C1060000}"/>
    <cellStyle name="60% - Accent3 3 3" xfId="2078" xr:uid="{00000000-0005-0000-0000-0000C2060000}"/>
    <cellStyle name="60% - Accent3 3 4" xfId="2079" xr:uid="{00000000-0005-0000-0000-0000C3060000}"/>
    <cellStyle name="60% - Accent3 3_Australia Results" xfId="6838" xr:uid="{CC1F3046-B13D-450E-B34E-2A13064AE207}"/>
    <cellStyle name="60% - Accent3 4" xfId="109" xr:uid="{00000000-0005-0000-0000-0000C5060000}"/>
    <cellStyle name="60% - Accent3 4 2" xfId="2080" xr:uid="{00000000-0005-0000-0000-0000C6060000}"/>
    <cellStyle name="60% - Accent3 4_Australia Results" xfId="6839" xr:uid="{A3AEEE0F-2551-4D52-8018-120BC4A481B6}"/>
    <cellStyle name="60% - Accent3 5" xfId="110" xr:uid="{00000000-0005-0000-0000-0000C8060000}"/>
    <cellStyle name="60% - Accent3 6" xfId="2081" xr:uid="{00000000-0005-0000-0000-0000C9060000}"/>
    <cellStyle name="60% - Accent3 7" xfId="2082" xr:uid="{00000000-0005-0000-0000-0000CA060000}"/>
    <cellStyle name="60% - Accent3 8" xfId="2083" xr:uid="{00000000-0005-0000-0000-0000CB060000}"/>
    <cellStyle name="60% - Accent3 9" xfId="2084" xr:uid="{00000000-0005-0000-0000-0000CC060000}"/>
    <cellStyle name="60% - Accent4 10" xfId="2085" xr:uid="{00000000-0005-0000-0000-0000CD060000}"/>
    <cellStyle name="60% - Accent4 11" xfId="2086" xr:uid="{00000000-0005-0000-0000-0000CE060000}"/>
    <cellStyle name="60% - Accent4 12" xfId="2087" xr:uid="{00000000-0005-0000-0000-0000CF060000}"/>
    <cellStyle name="60% - Accent4 13" xfId="2088" xr:uid="{00000000-0005-0000-0000-0000D0060000}"/>
    <cellStyle name="60% - Accent4 14" xfId="6840" xr:uid="{E4923419-E6AD-49B5-9E34-2DFDB0D72272}"/>
    <cellStyle name="60% - Accent4 2" xfId="111" xr:uid="{00000000-0005-0000-0000-0000D1060000}"/>
    <cellStyle name="60% - Accent4 2 10" xfId="2089" xr:uid="{00000000-0005-0000-0000-0000D2060000}"/>
    <cellStyle name="60% - Accent4 2 11" xfId="2090" xr:uid="{00000000-0005-0000-0000-0000D3060000}"/>
    <cellStyle name="60% - Accent4 2 12" xfId="2091" xr:uid="{00000000-0005-0000-0000-0000D4060000}"/>
    <cellStyle name="60% - Accent4 2 13" xfId="2092" xr:uid="{00000000-0005-0000-0000-0000D5060000}"/>
    <cellStyle name="60% - Accent4 2 14" xfId="2093" xr:uid="{00000000-0005-0000-0000-0000D6060000}"/>
    <cellStyle name="60% - Accent4 2 15" xfId="2094" xr:uid="{00000000-0005-0000-0000-0000D7060000}"/>
    <cellStyle name="60% - Accent4 2 16" xfId="2095" xr:uid="{00000000-0005-0000-0000-0000D8060000}"/>
    <cellStyle name="60% - Accent4 2 17" xfId="2096" xr:uid="{00000000-0005-0000-0000-0000D9060000}"/>
    <cellStyle name="60% - Accent4 2 2" xfId="2097" xr:uid="{00000000-0005-0000-0000-0000DA060000}"/>
    <cellStyle name="60% - Accent4 2 2 10" xfId="2098" xr:uid="{00000000-0005-0000-0000-0000DB060000}"/>
    <cellStyle name="60% - Accent4 2 2 11" xfId="2099" xr:uid="{00000000-0005-0000-0000-0000DC060000}"/>
    <cellStyle name="60% - Accent4 2 2 12" xfId="2100" xr:uid="{00000000-0005-0000-0000-0000DD060000}"/>
    <cellStyle name="60% - Accent4 2 2 2" xfId="2101" xr:uid="{00000000-0005-0000-0000-0000DE060000}"/>
    <cellStyle name="60% - Accent4 2 2 3" xfId="2102" xr:uid="{00000000-0005-0000-0000-0000DF060000}"/>
    <cellStyle name="60% - Accent4 2 2 4" xfId="2103" xr:uid="{00000000-0005-0000-0000-0000E0060000}"/>
    <cellStyle name="60% - Accent4 2 2 5" xfId="2104" xr:uid="{00000000-0005-0000-0000-0000E1060000}"/>
    <cellStyle name="60% - Accent4 2 2 6" xfId="2105" xr:uid="{00000000-0005-0000-0000-0000E2060000}"/>
    <cellStyle name="60% - Accent4 2 2 7" xfId="2106" xr:uid="{00000000-0005-0000-0000-0000E3060000}"/>
    <cellStyle name="60% - Accent4 2 2 8" xfId="2107" xr:uid="{00000000-0005-0000-0000-0000E4060000}"/>
    <cellStyle name="60% - Accent4 2 2 9" xfId="2108" xr:uid="{00000000-0005-0000-0000-0000E5060000}"/>
    <cellStyle name="60% - Accent4 2 2_Cash flow" xfId="6841" xr:uid="{B28FFF35-98EC-4C5C-B47B-66F8241D43DA}"/>
    <cellStyle name="60% - Accent4 2 3" xfId="2109" xr:uid="{00000000-0005-0000-0000-0000E7060000}"/>
    <cellStyle name="60% - Accent4 2 4" xfId="2110" xr:uid="{00000000-0005-0000-0000-0000E8060000}"/>
    <cellStyle name="60% - Accent4 2 5" xfId="2111" xr:uid="{00000000-0005-0000-0000-0000E9060000}"/>
    <cellStyle name="60% - Accent4 2 6" xfId="2112" xr:uid="{00000000-0005-0000-0000-0000EA060000}"/>
    <cellStyle name="60% - Accent4 2 7" xfId="2113" xr:uid="{00000000-0005-0000-0000-0000EB060000}"/>
    <cellStyle name="60% - Accent4 2 8" xfId="2114" xr:uid="{00000000-0005-0000-0000-0000EC060000}"/>
    <cellStyle name="60% - Accent4 2 9" xfId="2115" xr:uid="{00000000-0005-0000-0000-0000ED060000}"/>
    <cellStyle name="60% - Accent4 2_Australia Results" xfId="6842" xr:uid="{2ACBBD99-F3A3-40B2-AB20-3321C057EA21}"/>
    <cellStyle name="60% - Accent4 3" xfId="112" xr:uid="{00000000-0005-0000-0000-0000EF060000}"/>
    <cellStyle name="60% - Accent4 3 2" xfId="2116" xr:uid="{00000000-0005-0000-0000-0000F0060000}"/>
    <cellStyle name="60% - Accent4 3_Australia Results" xfId="6843" xr:uid="{FF56DA23-EAF7-47AC-9DE1-5AEDADB20CE2}"/>
    <cellStyle name="60% - Accent4 4" xfId="113" xr:uid="{00000000-0005-0000-0000-0000F2060000}"/>
    <cellStyle name="60% - Accent4 4 2" xfId="2117" xr:uid="{00000000-0005-0000-0000-0000F3060000}"/>
    <cellStyle name="60% - Accent4 4_Australia Results" xfId="6844" xr:uid="{F6C4E00B-3E6C-49C5-AAE0-58985734D697}"/>
    <cellStyle name="60% - Accent4 5" xfId="114" xr:uid="{00000000-0005-0000-0000-0000F5060000}"/>
    <cellStyle name="60% - Accent4 6" xfId="2118" xr:uid="{00000000-0005-0000-0000-0000F6060000}"/>
    <cellStyle name="60% - Accent4 7" xfId="2119" xr:uid="{00000000-0005-0000-0000-0000F7060000}"/>
    <cellStyle name="60% - Accent4 8" xfId="2120" xr:uid="{00000000-0005-0000-0000-0000F8060000}"/>
    <cellStyle name="60% - Accent4 9" xfId="2121" xr:uid="{00000000-0005-0000-0000-0000F9060000}"/>
    <cellStyle name="60% - Accent5 10" xfId="2122" xr:uid="{00000000-0005-0000-0000-0000FA060000}"/>
    <cellStyle name="60% - Accent5 11" xfId="2123" xr:uid="{00000000-0005-0000-0000-0000FB060000}"/>
    <cellStyle name="60% - Accent5 12" xfId="2124" xr:uid="{00000000-0005-0000-0000-0000FC060000}"/>
    <cellStyle name="60% - Accent5 13" xfId="2125" xr:uid="{00000000-0005-0000-0000-0000FD060000}"/>
    <cellStyle name="60% - Accent5 14" xfId="6845" xr:uid="{9639B19B-51AE-4D89-A88D-B5CD22CBAC1D}"/>
    <cellStyle name="60% - Accent5 2" xfId="115" xr:uid="{00000000-0005-0000-0000-0000FE060000}"/>
    <cellStyle name="60% - Accent5 2 10" xfId="2126" xr:uid="{00000000-0005-0000-0000-0000FF060000}"/>
    <cellStyle name="60% - Accent5 2 11" xfId="2127" xr:uid="{00000000-0005-0000-0000-000000070000}"/>
    <cellStyle name="60% - Accent5 2 12" xfId="2128" xr:uid="{00000000-0005-0000-0000-000001070000}"/>
    <cellStyle name="60% - Accent5 2 13" xfId="2129" xr:uid="{00000000-0005-0000-0000-000002070000}"/>
    <cellStyle name="60% - Accent5 2 14" xfId="2130" xr:uid="{00000000-0005-0000-0000-000003070000}"/>
    <cellStyle name="60% - Accent5 2 15" xfId="2131" xr:uid="{00000000-0005-0000-0000-000004070000}"/>
    <cellStyle name="60% - Accent5 2 16" xfId="2132" xr:uid="{00000000-0005-0000-0000-000005070000}"/>
    <cellStyle name="60% - Accent5 2 17" xfId="2133" xr:uid="{00000000-0005-0000-0000-000006070000}"/>
    <cellStyle name="60% - Accent5 2 18" xfId="2134" xr:uid="{00000000-0005-0000-0000-000007070000}"/>
    <cellStyle name="60% - Accent5 2 2" xfId="2135" xr:uid="{00000000-0005-0000-0000-000008070000}"/>
    <cellStyle name="60% - Accent5 2 2 10" xfId="2136" xr:uid="{00000000-0005-0000-0000-000009070000}"/>
    <cellStyle name="60% - Accent5 2 2 11" xfId="2137" xr:uid="{00000000-0005-0000-0000-00000A070000}"/>
    <cellStyle name="60% - Accent5 2 2 12" xfId="2138" xr:uid="{00000000-0005-0000-0000-00000B070000}"/>
    <cellStyle name="60% - Accent5 2 2 13" xfId="2139" xr:uid="{00000000-0005-0000-0000-00000C070000}"/>
    <cellStyle name="60% - Accent5 2 2 14" xfId="2140" xr:uid="{00000000-0005-0000-0000-00000D070000}"/>
    <cellStyle name="60% - Accent5 2 2 15" xfId="2141" xr:uid="{00000000-0005-0000-0000-00000E070000}"/>
    <cellStyle name="60% - Accent5 2 2 16" xfId="2142" xr:uid="{00000000-0005-0000-0000-00000F070000}"/>
    <cellStyle name="60% - Accent5 2 2 17" xfId="2143" xr:uid="{00000000-0005-0000-0000-000010070000}"/>
    <cellStyle name="60% - Accent5 2 2 18" xfId="2144" xr:uid="{00000000-0005-0000-0000-000011070000}"/>
    <cellStyle name="60% - Accent5 2 2 2" xfId="2145" xr:uid="{00000000-0005-0000-0000-000012070000}"/>
    <cellStyle name="60% - Accent5 2 2 3" xfId="2146" xr:uid="{00000000-0005-0000-0000-000013070000}"/>
    <cellStyle name="60% - Accent5 2 2 4" xfId="2147" xr:uid="{00000000-0005-0000-0000-000014070000}"/>
    <cellStyle name="60% - Accent5 2 2 5" xfId="2148" xr:uid="{00000000-0005-0000-0000-000015070000}"/>
    <cellStyle name="60% - Accent5 2 2 6" xfId="2149" xr:uid="{00000000-0005-0000-0000-000016070000}"/>
    <cellStyle name="60% - Accent5 2 2 7" xfId="2150" xr:uid="{00000000-0005-0000-0000-000017070000}"/>
    <cellStyle name="60% - Accent5 2 2 8" xfId="2151" xr:uid="{00000000-0005-0000-0000-000018070000}"/>
    <cellStyle name="60% - Accent5 2 2 9" xfId="2152" xr:uid="{00000000-0005-0000-0000-000019070000}"/>
    <cellStyle name="60% - Accent5 2 2_Equity reconciliation 2013-03" xfId="2153" xr:uid="{00000000-0005-0000-0000-00001A070000}"/>
    <cellStyle name="60% - Accent5 2 3" xfId="2154" xr:uid="{00000000-0005-0000-0000-00001B070000}"/>
    <cellStyle name="60% - Accent5 2 4" xfId="2155" xr:uid="{00000000-0005-0000-0000-00001C070000}"/>
    <cellStyle name="60% - Accent5 2 5" xfId="2156" xr:uid="{00000000-0005-0000-0000-00001D070000}"/>
    <cellStyle name="60% - Accent5 2 6" xfId="2157" xr:uid="{00000000-0005-0000-0000-00001E070000}"/>
    <cellStyle name="60% - Accent5 2 7" xfId="2158" xr:uid="{00000000-0005-0000-0000-00001F070000}"/>
    <cellStyle name="60% - Accent5 2 8" xfId="2159" xr:uid="{00000000-0005-0000-0000-000020070000}"/>
    <cellStyle name="60% - Accent5 2 9" xfId="2160" xr:uid="{00000000-0005-0000-0000-000021070000}"/>
    <cellStyle name="60% - Accent5 2_5130_new" xfId="2161" xr:uid="{00000000-0005-0000-0000-000022070000}"/>
    <cellStyle name="60% - Accent5 3" xfId="116" xr:uid="{00000000-0005-0000-0000-000023070000}"/>
    <cellStyle name="60% - Accent5 3 2" xfId="2162" xr:uid="{00000000-0005-0000-0000-000024070000}"/>
    <cellStyle name="60% - Accent5 3_Australia Results" xfId="6846" xr:uid="{D521CB91-08EF-4755-8F95-B8064B8FEB53}"/>
    <cellStyle name="60% - Accent5 4" xfId="117" xr:uid="{00000000-0005-0000-0000-000026070000}"/>
    <cellStyle name="60% - Accent5 4 2" xfId="2163" xr:uid="{00000000-0005-0000-0000-000027070000}"/>
    <cellStyle name="60% - Accent5 4_Australia Results" xfId="6847" xr:uid="{E6A63E44-A3D2-4662-9608-2C7C7830C592}"/>
    <cellStyle name="60% - Accent5 5" xfId="118" xr:uid="{00000000-0005-0000-0000-000029070000}"/>
    <cellStyle name="60% - Accent5 6" xfId="2164" xr:uid="{00000000-0005-0000-0000-00002A070000}"/>
    <cellStyle name="60% - Accent5 7" xfId="2165" xr:uid="{00000000-0005-0000-0000-00002B070000}"/>
    <cellStyle name="60% - Accent5 8" xfId="2166" xr:uid="{00000000-0005-0000-0000-00002C070000}"/>
    <cellStyle name="60% - Accent5 9" xfId="2167" xr:uid="{00000000-0005-0000-0000-00002D070000}"/>
    <cellStyle name="60% - Accent6 10" xfId="2168" xr:uid="{00000000-0005-0000-0000-00002E070000}"/>
    <cellStyle name="60% - Accent6 11" xfId="2169" xr:uid="{00000000-0005-0000-0000-00002F070000}"/>
    <cellStyle name="60% - Accent6 12" xfId="2170" xr:uid="{00000000-0005-0000-0000-000030070000}"/>
    <cellStyle name="60% - Accent6 13" xfId="2171" xr:uid="{00000000-0005-0000-0000-000031070000}"/>
    <cellStyle name="60% - Accent6 14" xfId="6848" xr:uid="{86B00926-FBB5-4624-B864-751896C73647}"/>
    <cellStyle name="60% - Accent6 2" xfId="119" xr:uid="{00000000-0005-0000-0000-000032070000}"/>
    <cellStyle name="60% - Accent6 2 10" xfId="2172" xr:uid="{00000000-0005-0000-0000-000033070000}"/>
    <cellStyle name="60% - Accent6 2 11" xfId="2173" xr:uid="{00000000-0005-0000-0000-000034070000}"/>
    <cellStyle name="60% - Accent6 2 12" xfId="2174" xr:uid="{00000000-0005-0000-0000-000035070000}"/>
    <cellStyle name="60% - Accent6 2 13" xfId="2175" xr:uid="{00000000-0005-0000-0000-000036070000}"/>
    <cellStyle name="60% - Accent6 2 14" xfId="2176" xr:uid="{00000000-0005-0000-0000-000037070000}"/>
    <cellStyle name="60% - Accent6 2 15" xfId="2177" xr:uid="{00000000-0005-0000-0000-000038070000}"/>
    <cellStyle name="60% - Accent6 2 16" xfId="2178" xr:uid="{00000000-0005-0000-0000-000039070000}"/>
    <cellStyle name="60% - Accent6 2 17" xfId="2179" xr:uid="{00000000-0005-0000-0000-00003A070000}"/>
    <cellStyle name="60% - Accent6 2 2" xfId="2180" xr:uid="{00000000-0005-0000-0000-00003B070000}"/>
    <cellStyle name="60% - Accent6 2 2 10" xfId="2181" xr:uid="{00000000-0005-0000-0000-00003C070000}"/>
    <cellStyle name="60% - Accent6 2 2 11" xfId="2182" xr:uid="{00000000-0005-0000-0000-00003D070000}"/>
    <cellStyle name="60% - Accent6 2 2 12" xfId="2183" xr:uid="{00000000-0005-0000-0000-00003E070000}"/>
    <cellStyle name="60% - Accent6 2 2 2" xfId="2184" xr:uid="{00000000-0005-0000-0000-00003F070000}"/>
    <cellStyle name="60% - Accent6 2 2 3" xfId="2185" xr:uid="{00000000-0005-0000-0000-000040070000}"/>
    <cellStyle name="60% - Accent6 2 2 4" xfId="2186" xr:uid="{00000000-0005-0000-0000-000041070000}"/>
    <cellStyle name="60% - Accent6 2 2 5" xfId="2187" xr:uid="{00000000-0005-0000-0000-000042070000}"/>
    <cellStyle name="60% - Accent6 2 2 6" xfId="2188" xr:uid="{00000000-0005-0000-0000-000043070000}"/>
    <cellStyle name="60% - Accent6 2 2 7" xfId="2189" xr:uid="{00000000-0005-0000-0000-000044070000}"/>
    <cellStyle name="60% - Accent6 2 2 8" xfId="2190" xr:uid="{00000000-0005-0000-0000-000045070000}"/>
    <cellStyle name="60% - Accent6 2 2 9" xfId="2191" xr:uid="{00000000-0005-0000-0000-000046070000}"/>
    <cellStyle name="60% - Accent6 2 2_Cash flow" xfId="6849" xr:uid="{258C2CC0-986E-4701-84CA-38E40BB2496E}"/>
    <cellStyle name="60% - Accent6 2 3" xfId="2192" xr:uid="{00000000-0005-0000-0000-000048070000}"/>
    <cellStyle name="60% - Accent6 2 4" xfId="2193" xr:uid="{00000000-0005-0000-0000-000049070000}"/>
    <cellStyle name="60% - Accent6 2 5" xfId="2194" xr:uid="{00000000-0005-0000-0000-00004A070000}"/>
    <cellStyle name="60% - Accent6 2 6" xfId="2195" xr:uid="{00000000-0005-0000-0000-00004B070000}"/>
    <cellStyle name="60% - Accent6 2 7" xfId="2196" xr:uid="{00000000-0005-0000-0000-00004C070000}"/>
    <cellStyle name="60% - Accent6 2 8" xfId="2197" xr:uid="{00000000-0005-0000-0000-00004D070000}"/>
    <cellStyle name="60% - Accent6 2 9" xfId="2198" xr:uid="{00000000-0005-0000-0000-00004E070000}"/>
    <cellStyle name="60% - Accent6 2_Australia Results" xfId="6850" xr:uid="{365D6C5E-E909-4F83-A4FD-B3CF92DA67DC}"/>
    <cellStyle name="60% - Accent6 3" xfId="120" xr:uid="{00000000-0005-0000-0000-000050070000}"/>
    <cellStyle name="60% - Accent6 3 2" xfId="2199" xr:uid="{00000000-0005-0000-0000-000051070000}"/>
    <cellStyle name="60% - Accent6 3_Australia Results" xfId="6851" xr:uid="{7CC49D8F-1272-4E14-B036-A95D545F6C36}"/>
    <cellStyle name="60% - Accent6 4" xfId="121" xr:uid="{00000000-0005-0000-0000-000053070000}"/>
    <cellStyle name="60% - Accent6 4 2" xfId="2200" xr:uid="{00000000-0005-0000-0000-000054070000}"/>
    <cellStyle name="60% - Accent6 4_Australia Results" xfId="6852" xr:uid="{5CAB2DA9-5383-44E7-8926-1E5F91A08004}"/>
    <cellStyle name="60% - Accent6 5" xfId="122" xr:uid="{00000000-0005-0000-0000-000056070000}"/>
    <cellStyle name="60% - Accent6 6" xfId="2201" xr:uid="{00000000-0005-0000-0000-000057070000}"/>
    <cellStyle name="60% - Accent6 7" xfId="2202" xr:uid="{00000000-0005-0000-0000-000058070000}"/>
    <cellStyle name="60% - Accent6 8" xfId="2203" xr:uid="{00000000-0005-0000-0000-000059070000}"/>
    <cellStyle name="60% - Accent6 9" xfId="2204" xr:uid="{00000000-0005-0000-0000-00005A070000}"/>
    <cellStyle name="60% - Akzent1" xfId="6853" xr:uid="{32090E20-754F-4660-A904-4B7F89280A8C}"/>
    <cellStyle name="60% - Akzent2" xfId="6854" xr:uid="{F16C89F7-71BE-40B3-9CA7-6397004F2BE7}"/>
    <cellStyle name="60% - Akzent3" xfId="6855" xr:uid="{813AB244-75CA-4FF9-82CE-B7ED9CC9A95A}"/>
    <cellStyle name="60% - Akzent4" xfId="6856" xr:uid="{B3F681DA-A346-4DCD-8EDC-40E41B8C7690}"/>
    <cellStyle name="60% - Akzent5" xfId="6857" xr:uid="{72A6D161-11E3-4120-8DC5-E359D51EAB8C}"/>
    <cellStyle name="60% - Akzent6" xfId="6858" xr:uid="{65D44672-3624-4C43-9D78-D8CAB1B25CDC}"/>
    <cellStyle name="60% - Ênfase1" xfId="6859" xr:uid="{1BFDEB3D-C370-41E2-B1CB-903395D3D57D}"/>
    <cellStyle name="60% - Ênfase2" xfId="6860" xr:uid="{04141EE8-0042-43D9-BD30-D4570D6E028C}"/>
    <cellStyle name="60% - Ênfase3" xfId="6861" xr:uid="{2F2DAD4D-874E-4FB7-BFB8-B34098A71D97}"/>
    <cellStyle name="60% - Ênfase4" xfId="6862" xr:uid="{2C955029-CB7E-4527-82F5-71EE8D938593}"/>
    <cellStyle name="60% - Ênfase5" xfId="6863" xr:uid="{30E46F18-B7F7-4174-B1FB-8E4F61924E2A}"/>
    <cellStyle name="60% - Ênfase6" xfId="6864" xr:uid="{28CF7919-F00B-4DC1-8813-EAC0CA03D5B7}"/>
    <cellStyle name="60% - Énfasis1" xfId="6865" xr:uid="{2696C8EC-A726-4523-94DC-11AF16D28458}"/>
    <cellStyle name="60% - Énfasis2" xfId="6866" xr:uid="{F59DF69C-177E-4DA3-9AE4-03091B74C0B3}"/>
    <cellStyle name="60% - Énfasis3" xfId="6867" xr:uid="{0D4D2B80-CA68-4F57-AAE2-B1B33794EDD5}"/>
    <cellStyle name="60% - Énfasis4" xfId="6868" xr:uid="{61FAF2C6-9018-4052-9622-8D24EBD55AF2}"/>
    <cellStyle name="60% - Énfasis5" xfId="6869" xr:uid="{61CDC97F-2AFF-4BEE-BBAE-642DD91D60ED}"/>
    <cellStyle name="60% - Énfasis6" xfId="6870" xr:uid="{A3FB4C38-C1D2-41B3-8424-A98457564172}"/>
    <cellStyle name="À‰" xfId="123" xr:uid="{00000000-0005-0000-0000-00005B070000}"/>
    <cellStyle name="À‰ 2" xfId="2205" xr:uid="{00000000-0005-0000-0000-00005C070000}"/>
    <cellStyle name="À‰ 3" xfId="2206" xr:uid="{00000000-0005-0000-0000-00005D070000}"/>
    <cellStyle name="À‰ 4" xfId="2207" xr:uid="{00000000-0005-0000-0000-00005E070000}"/>
    <cellStyle name="À‰ 5" xfId="2208" xr:uid="{00000000-0005-0000-0000-00005F070000}"/>
    <cellStyle name="À‰ 6" xfId="2209" xr:uid="{00000000-0005-0000-0000-000060070000}"/>
    <cellStyle name="À‰ 7" xfId="2210" xr:uid="{00000000-0005-0000-0000-000061070000}"/>
    <cellStyle name="À‰ 8" xfId="2211" xr:uid="{00000000-0005-0000-0000-000062070000}"/>
    <cellStyle name="À‰_5130" xfId="2212" xr:uid="{00000000-0005-0000-0000-000063070000}"/>
    <cellStyle name="Accent1 - 20%" xfId="124" xr:uid="{00000000-0005-0000-0000-000064070000}"/>
    <cellStyle name="Accent1 - 20% 2" xfId="2213" xr:uid="{00000000-0005-0000-0000-000065070000}"/>
    <cellStyle name="Accent1 - 20%_5130_new" xfId="2214" xr:uid="{00000000-0005-0000-0000-000066070000}"/>
    <cellStyle name="Accent1 - 40%" xfId="125" xr:uid="{00000000-0005-0000-0000-000067070000}"/>
    <cellStyle name="Accent1 - 40% 2" xfId="2215" xr:uid="{00000000-0005-0000-0000-000068070000}"/>
    <cellStyle name="Accent1 - 40%_5130_new" xfId="2216" xr:uid="{00000000-0005-0000-0000-000069070000}"/>
    <cellStyle name="Accent1 - 60%" xfId="126" xr:uid="{00000000-0005-0000-0000-00006A070000}"/>
    <cellStyle name="Accent1 10" xfId="2217" xr:uid="{00000000-0005-0000-0000-00006B070000}"/>
    <cellStyle name="Accent1 11" xfId="2218" xr:uid="{00000000-0005-0000-0000-00006C070000}"/>
    <cellStyle name="Accent1 12" xfId="2219" xr:uid="{00000000-0005-0000-0000-00006D070000}"/>
    <cellStyle name="Accent1 13" xfId="2220" xr:uid="{00000000-0005-0000-0000-00006E070000}"/>
    <cellStyle name="Accent1 14" xfId="2221" xr:uid="{00000000-0005-0000-0000-00006F070000}"/>
    <cellStyle name="Accent1 15" xfId="2222" xr:uid="{00000000-0005-0000-0000-000070070000}"/>
    <cellStyle name="Accent1 16" xfId="2223" xr:uid="{00000000-0005-0000-0000-000071070000}"/>
    <cellStyle name="Accent1 17" xfId="2224" xr:uid="{00000000-0005-0000-0000-000072070000}"/>
    <cellStyle name="Accent1 18" xfId="2225" xr:uid="{00000000-0005-0000-0000-000073070000}"/>
    <cellStyle name="Accent1 19" xfId="2226" xr:uid="{00000000-0005-0000-0000-000074070000}"/>
    <cellStyle name="Accent1 2" xfId="127" xr:uid="{00000000-0005-0000-0000-000075070000}"/>
    <cellStyle name="Accent1 2 10" xfId="2227" xr:uid="{00000000-0005-0000-0000-000076070000}"/>
    <cellStyle name="Accent1 2 11" xfId="2228" xr:uid="{00000000-0005-0000-0000-000077070000}"/>
    <cellStyle name="Accent1 2 12" xfId="2229" xr:uid="{00000000-0005-0000-0000-000078070000}"/>
    <cellStyle name="Accent1 2 13" xfId="2230" xr:uid="{00000000-0005-0000-0000-000079070000}"/>
    <cellStyle name="Accent1 2 14" xfId="2231" xr:uid="{00000000-0005-0000-0000-00007A070000}"/>
    <cellStyle name="Accent1 2 15" xfId="2232" xr:uid="{00000000-0005-0000-0000-00007B070000}"/>
    <cellStyle name="Accent1 2 16" xfId="2233" xr:uid="{00000000-0005-0000-0000-00007C070000}"/>
    <cellStyle name="Accent1 2 17" xfId="2234" xr:uid="{00000000-0005-0000-0000-00007D070000}"/>
    <cellStyle name="Accent1 2 18" xfId="2235" xr:uid="{00000000-0005-0000-0000-00007E070000}"/>
    <cellStyle name="Accent1 2 2" xfId="2236" xr:uid="{00000000-0005-0000-0000-00007F070000}"/>
    <cellStyle name="Accent1 2 2 10" xfId="2237" xr:uid="{00000000-0005-0000-0000-000080070000}"/>
    <cellStyle name="Accent1 2 2 11" xfId="2238" xr:uid="{00000000-0005-0000-0000-000081070000}"/>
    <cellStyle name="Accent1 2 2 12" xfId="2239" xr:uid="{00000000-0005-0000-0000-000082070000}"/>
    <cellStyle name="Accent1 2 2 13" xfId="2240" xr:uid="{00000000-0005-0000-0000-000083070000}"/>
    <cellStyle name="Accent1 2 2 14" xfId="2241" xr:uid="{00000000-0005-0000-0000-000084070000}"/>
    <cellStyle name="Accent1 2 2 15" xfId="2242" xr:uid="{00000000-0005-0000-0000-000085070000}"/>
    <cellStyle name="Accent1 2 2 16" xfId="2243" xr:uid="{00000000-0005-0000-0000-000086070000}"/>
    <cellStyle name="Accent1 2 2 17" xfId="2244" xr:uid="{00000000-0005-0000-0000-000087070000}"/>
    <cellStyle name="Accent1 2 2 18" xfId="2245" xr:uid="{00000000-0005-0000-0000-000088070000}"/>
    <cellStyle name="Accent1 2 2 2" xfId="2246" xr:uid="{00000000-0005-0000-0000-000089070000}"/>
    <cellStyle name="Accent1 2 2 2 2" xfId="2247" xr:uid="{00000000-0005-0000-0000-00008A070000}"/>
    <cellStyle name="Accent1 2 2 3" xfId="2248" xr:uid="{00000000-0005-0000-0000-00008B070000}"/>
    <cellStyle name="Accent1 2 2 4" xfId="2249" xr:uid="{00000000-0005-0000-0000-00008C070000}"/>
    <cellStyle name="Accent1 2 2 5" xfId="2250" xr:uid="{00000000-0005-0000-0000-00008D070000}"/>
    <cellStyle name="Accent1 2 2 6" xfId="2251" xr:uid="{00000000-0005-0000-0000-00008E070000}"/>
    <cellStyle name="Accent1 2 2 7" xfId="2252" xr:uid="{00000000-0005-0000-0000-00008F070000}"/>
    <cellStyle name="Accent1 2 2 8" xfId="2253" xr:uid="{00000000-0005-0000-0000-000090070000}"/>
    <cellStyle name="Accent1 2 2 9" xfId="2254" xr:uid="{00000000-0005-0000-0000-000091070000}"/>
    <cellStyle name="Accent1 2 2_Cash flow" xfId="6871" xr:uid="{D8A2A749-940F-4E8B-8918-6EEF01D9A6F2}"/>
    <cellStyle name="Accent1 2 3" xfId="2255" xr:uid="{00000000-0005-0000-0000-000093070000}"/>
    <cellStyle name="Accent1 2 3 2" xfId="2256" xr:uid="{00000000-0005-0000-0000-000094070000}"/>
    <cellStyle name="Accent1 2 3_Derivatives" xfId="2257" xr:uid="{00000000-0005-0000-0000-000095070000}"/>
    <cellStyle name="Accent1 2 4" xfId="2258" xr:uid="{00000000-0005-0000-0000-000096070000}"/>
    <cellStyle name="Accent1 2 4 2" xfId="2259" xr:uid="{00000000-0005-0000-0000-000097070000}"/>
    <cellStyle name="Accent1 2 5" xfId="2260" xr:uid="{00000000-0005-0000-0000-000098070000}"/>
    <cellStyle name="Accent1 2 6" xfId="2261" xr:uid="{00000000-0005-0000-0000-000099070000}"/>
    <cellStyle name="Accent1 2 7" xfId="2262" xr:uid="{00000000-0005-0000-0000-00009A070000}"/>
    <cellStyle name="Accent1 2 8" xfId="2263" xr:uid="{00000000-0005-0000-0000-00009B070000}"/>
    <cellStyle name="Accent1 2 8 2" xfId="2264" xr:uid="{00000000-0005-0000-0000-00009C070000}"/>
    <cellStyle name="Accent1 2 8_Derivatives" xfId="2265" xr:uid="{00000000-0005-0000-0000-00009D070000}"/>
    <cellStyle name="Accent1 2 9" xfId="2266" xr:uid="{00000000-0005-0000-0000-00009E070000}"/>
    <cellStyle name="Accent1 2_5130_new" xfId="2267" xr:uid="{00000000-0005-0000-0000-00009F070000}"/>
    <cellStyle name="Accent1 20" xfId="2268" xr:uid="{00000000-0005-0000-0000-0000A0070000}"/>
    <cellStyle name="Accent1 21" xfId="2269" xr:uid="{00000000-0005-0000-0000-0000A1070000}"/>
    <cellStyle name="Accent1 22" xfId="2270" xr:uid="{00000000-0005-0000-0000-0000A2070000}"/>
    <cellStyle name="Accent1 23" xfId="2271" xr:uid="{00000000-0005-0000-0000-0000A3070000}"/>
    <cellStyle name="Accent1 24" xfId="2272" xr:uid="{00000000-0005-0000-0000-0000A4070000}"/>
    <cellStyle name="Accent1 25" xfId="2273" xr:uid="{00000000-0005-0000-0000-0000A5070000}"/>
    <cellStyle name="Accent1 26" xfId="2274" xr:uid="{00000000-0005-0000-0000-0000A6070000}"/>
    <cellStyle name="Accent1 27" xfId="2275" xr:uid="{00000000-0005-0000-0000-0000A7070000}"/>
    <cellStyle name="Accent1 28" xfId="2276" xr:uid="{00000000-0005-0000-0000-0000A8070000}"/>
    <cellStyle name="Accent1 29" xfId="2277" xr:uid="{00000000-0005-0000-0000-0000A9070000}"/>
    <cellStyle name="Accent1 3" xfId="128" xr:uid="{00000000-0005-0000-0000-0000AA070000}"/>
    <cellStyle name="Accent1 3 10" xfId="2278" xr:uid="{00000000-0005-0000-0000-0000AB070000}"/>
    <cellStyle name="Accent1 3 2" xfId="2279" xr:uid="{00000000-0005-0000-0000-0000AC070000}"/>
    <cellStyle name="Accent1 3 2 2" xfId="2280" xr:uid="{00000000-0005-0000-0000-0000AD070000}"/>
    <cellStyle name="Accent1 3 2 3" xfId="2281" xr:uid="{00000000-0005-0000-0000-0000AE070000}"/>
    <cellStyle name="Accent1 3 2_Cash flow" xfId="6872" xr:uid="{E7DDF5D9-0A36-4DF9-BBB2-63ACA52F5B5B}"/>
    <cellStyle name="Accent1 3 3" xfId="2282" xr:uid="{00000000-0005-0000-0000-0000B0070000}"/>
    <cellStyle name="Accent1 3 3 2" xfId="2283" xr:uid="{00000000-0005-0000-0000-0000B1070000}"/>
    <cellStyle name="Accent1 3 3_Derivatives" xfId="2284" xr:uid="{00000000-0005-0000-0000-0000B2070000}"/>
    <cellStyle name="Accent1 3 4" xfId="2285" xr:uid="{00000000-0005-0000-0000-0000B3070000}"/>
    <cellStyle name="Accent1 3 5" xfId="2286" xr:uid="{00000000-0005-0000-0000-0000B4070000}"/>
    <cellStyle name="Accent1 3 6" xfId="2287" xr:uid="{00000000-0005-0000-0000-0000B5070000}"/>
    <cellStyle name="Accent1 3 7" xfId="2288" xr:uid="{00000000-0005-0000-0000-0000B6070000}"/>
    <cellStyle name="Accent1 3 8" xfId="2289" xr:uid="{00000000-0005-0000-0000-0000B7070000}"/>
    <cellStyle name="Accent1 3 9" xfId="2290" xr:uid="{00000000-0005-0000-0000-0000B8070000}"/>
    <cellStyle name="Accent1 3_Acq input" xfId="6873" xr:uid="{23B96DA6-53BB-48DC-9E00-7E5ED9EFE1B5}"/>
    <cellStyle name="Accent1 30" xfId="2291" xr:uid="{00000000-0005-0000-0000-0000BA070000}"/>
    <cellStyle name="Accent1 31" xfId="2292" xr:uid="{00000000-0005-0000-0000-0000BB070000}"/>
    <cellStyle name="Accent1 32" xfId="2293" xr:uid="{00000000-0005-0000-0000-0000BC070000}"/>
    <cellStyle name="Accent1 33" xfId="2294" xr:uid="{00000000-0005-0000-0000-0000BD070000}"/>
    <cellStyle name="Accent1 34" xfId="2295" xr:uid="{00000000-0005-0000-0000-0000BE070000}"/>
    <cellStyle name="Accent1 35" xfId="2296" xr:uid="{00000000-0005-0000-0000-0000BF070000}"/>
    <cellStyle name="Accent1 36" xfId="2297" xr:uid="{00000000-0005-0000-0000-0000C0070000}"/>
    <cellStyle name="Accent1 37" xfId="2298" xr:uid="{00000000-0005-0000-0000-0000C1070000}"/>
    <cellStyle name="Accent1 38" xfId="2299" xr:uid="{00000000-0005-0000-0000-0000C2070000}"/>
    <cellStyle name="Accent1 39" xfId="2300" xr:uid="{00000000-0005-0000-0000-0000C3070000}"/>
    <cellStyle name="Accent1 4" xfId="129" xr:uid="{00000000-0005-0000-0000-0000C4070000}"/>
    <cellStyle name="Accent1 4 2" xfId="2301" xr:uid="{00000000-0005-0000-0000-0000C5070000}"/>
    <cellStyle name="Accent1 4 3" xfId="2302" xr:uid="{00000000-0005-0000-0000-0000C6070000}"/>
    <cellStyle name="Accent1 4_Acq input" xfId="6874" xr:uid="{47A06BB5-F56D-4074-9544-1F980E485E88}"/>
    <cellStyle name="Accent1 40" xfId="2303" xr:uid="{00000000-0005-0000-0000-0000C8070000}"/>
    <cellStyle name="Accent1 41" xfId="2304" xr:uid="{00000000-0005-0000-0000-0000C9070000}"/>
    <cellStyle name="Accent1 42" xfId="2305" xr:uid="{00000000-0005-0000-0000-0000CA070000}"/>
    <cellStyle name="Accent1 43" xfId="2306" xr:uid="{00000000-0005-0000-0000-0000CB070000}"/>
    <cellStyle name="Accent1 44" xfId="2307" xr:uid="{00000000-0005-0000-0000-0000CC070000}"/>
    <cellStyle name="Accent1 45" xfId="2308" xr:uid="{00000000-0005-0000-0000-0000CD070000}"/>
    <cellStyle name="Accent1 46" xfId="2309" xr:uid="{00000000-0005-0000-0000-0000CE070000}"/>
    <cellStyle name="Accent1 47" xfId="2310" xr:uid="{00000000-0005-0000-0000-0000CF070000}"/>
    <cellStyle name="Accent1 48" xfId="2311" xr:uid="{00000000-0005-0000-0000-0000D0070000}"/>
    <cellStyle name="Accent1 49" xfId="2312" xr:uid="{00000000-0005-0000-0000-0000D1070000}"/>
    <cellStyle name="Accent1 5" xfId="130" xr:uid="{00000000-0005-0000-0000-0000D2070000}"/>
    <cellStyle name="Accent1 5 2" xfId="6875" xr:uid="{FF4F8DC1-5245-4BEF-ACC3-A8FB0B27F38B}"/>
    <cellStyle name="Accent1 5_Acq input" xfId="6876" xr:uid="{59E703D9-AEEE-421F-A0FB-95E96D883587}"/>
    <cellStyle name="Accent1 50" xfId="2313" xr:uid="{00000000-0005-0000-0000-0000D3070000}"/>
    <cellStyle name="Accent1 51" xfId="2314" xr:uid="{00000000-0005-0000-0000-0000D4070000}"/>
    <cellStyle name="Accent1 52" xfId="2315" xr:uid="{00000000-0005-0000-0000-0000D5070000}"/>
    <cellStyle name="Accent1 53" xfId="2316" xr:uid="{00000000-0005-0000-0000-0000D6070000}"/>
    <cellStyle name="Accent1 54" xfId="2317" xr:uid="{00000000-0005-0000-0000-0000D7070000}"/>
    <cellStyle name="Accent1 55" xfId="2318" xr:uid="{00000000-0005-0000-0000-0000D8070000}"/>
    <cellStyle name="Accent1 56" xfId="2319" xr:uid="{00000000-0005-0000-0000-0000D9070000}"/>
    <cellStyle name="Accent1 57" xfId="2320" xr:uid="{00000000-0005-0000-0000-0000DA070000}"/>
    <cellStyle name="Accent1 58" xfId="2321" xr:uid="{00000000-0005-0000-0000-0000DB070000}"/>
    <cellStyle name="Accent1 59" xfId="2322" xr:uid="{00000000-0005-0000-0000-0000DC070000}"/>
    <cellStyle name="Accent1 6" xfId="2323" xr:uid="{00000000-0005-0000-0000-0000DD070000}"/>
    <cellStyle name="Accent1 6 2" xfId="6877" xr:uid="{018A0B30-5006-4B3F-98A0-9870E6AC2957}"/>
    <cellStyle name="Accent1 6_Acq input" xfId="6878" xr:uid="{2FA1CBCF-73C2-4004-9AFC-8B02959BCD8F}"/>
    <cellStyle name="Accent1 60" xfId="2324" xr:uid="{00000000-0005-0000-0000-0000DE070000}"/>
    <cellStyle name="Accent1 61" xfId="2325" xr:uid="{00000000-0005-0000-0000-0000DF070000}"/>
    <cellStyle name="Accent1 62" xfId="2326" xr:uid="{00000000-0005-0000-0000-0000E0070000}"/>
    <cellStyle name="Accent1 63" xfId="2327" xr:uid="{00000000-0005-0000-0000-0000E1070000}"/>
    <cellStyle name="Accent1 64" xfId="2328" xr:uid="{00000000-0005-0000-0000-0000E2070000}"/>
    <cellStyle name="Accent1 65" xfId="2329" xr:uid="{00000000-0005-0000-0000-0000E3070000}"/>
    <cellStyle name="Accent1 66" xfId="2330" xr:uid="{00000000-0005-0000-0000-0000E4070000}"/>
    <cellStyle name="Accent1 67" xfId="2331" xr:uid="{00000000-0005-0000-0000-0000E5070000}"/>
    <cellStyle name="Accent1 68" xfId="2332" xr:uid="{00000000-0005-0000-0000-0000E6070000}"/>
    <cellStyle name="Accent1 69" xfId="2333" xr:uid="{00000000-0005-0000-0000-0000E7070000}"/>
    <cellStyle name="Accent1 7" xfId="2334" xr:uid="{00000000-0005-0000-0000-0000E8070000}"/>
    <cellStyle name="Accent1 7 2" xfId="6879" xr:uid="{38B61C03-DE77-43C5-8EB2-9607B1A03651}"/>
    <cellStyle name="Accent1 7_Acq input" xfId="6880" xr:uid="{7EDC0A06-061D-4C80-9E05-C73443420C45}"/>
    <cellStyle name="Accent1 70" xfId="2335" xr:uid="{00000000-0005-0000-0000-0000E9070000}"/>
    <cellStyle name="Accent1 71" xfId="2336" xr:uid="{00000000-0005-0000-0000-0000EA070000}"/>
    <cellStyle name="Accent1 72" xfId="2337" xr:uid="{00000000-0005-0000-0000-0000EB070000}"/>
    <cellStyle name="Accent1 73" xfId="2338" xr:uid="{00000000-0005-0000-0000-0000EC070000}"/>
    <cellStyle name="Accent1 74" xfId="2339" xr:uid="{00000000-0005-0000-0000-0000ED070000}"/>
    <cellStyle name="Accent1 75" xfId="2340" xr:uid="{00000000-0005-0000-0000-0000EE070000}"/>
    <cellStyle name="Accent1 8" xfId="2341" xr:uid="{00000000-0005-0000-0000-0000EF070000}"/>
    <cellStyle name="Accent1 8 2" xfId="6881" xr:uid="{7DCBFC38-37AD-40CD-90AC-5F250D28526E}"/>
    <cellStyle name="Accent1 8_Acq input" xfId="6882" xr:uid="{AC6A566A-77FD-46C5-8B24-B3A1A38B3D98}"/>
    <cellStyle name="Accent1 9" xfId="2342" xr:uid="{00000000-0005-0000-0000-0000F0070000}"/>
    <cellStyle name="Accent1 9 2" xfId="6883" xr:uid="{94160E8C-0374-42E1-92F6-A53E62A5E48A}"/>
    <cellStyle name="Accent1 9_Acq input" xfId="6884" xr:uid="{B8A2D76A-5BCC-4C60-9BA0-1698382CCF6C}"/>
    <cellStyle name="Accent2 - 20%" xfId="131" xr:uid="{00000000-0005-0000-0000-0000F1070000}"/>
    <cellStyle name="Accent2 - 20% 2" xfId="2343" xr:uid="{00000000-0005-0000-0000-0000F2070000}"/>
    <cellStyle name="Accent2 - 20%_5130_new" xfId="2344" xr:uid="{00000000-0005-0000-0000-0000F3070000}"/>
    <cellStyle name="Accent2 - 40%" xfId="132" xr:uid="{00000000-0005-0000-0000-0000F4070000}"/>
    <cellStyle name="Accent2 - 40% 2" xfId="2345" xr:uid="{00000000-0005-0000-0000-0000F5070000}"/>
    <cellStyle name="Accent2 - 40%_5130_new" xfId="2346" xr:uid="{00000000-0005-0000-0000-0000F6070000}"/>
    <cellStyle name="Accent2 - 60%" xfId="133" xr:uid="{00000000-0005-0000-0000-0000F7070000}"/>
    <cellStyle name="Accent2 10" xfId="2347" xr:uid="{00000000-0005-0000-0000-0000F8070000}"/>
    <cellStyle name="Accent2 11" xfId="2348" xr:uid="{00000000-0005-0000-0000-0000F9070000}"/>
    <cellStyle name="Accent2 12" xfId="2349" xr:uid="{00000000-0005-0000-0000-0000FA070000}"/>
    <cellStyle name="Accent2 13" xfId="2350" xr:uid="{00000000-0005-0000-0000-0000FB070000}"/>
    <cellStyle name="Accent2 14" xfId="2351" xr:uid="{00000000-0005-0000-0000-0000FC070000}"/>
    <cellStyle name="Accent2 15" xfId="2352" xr:uid="{00000000-0005-0000-0000-0000FD070000}"/>
    <cellStyle name="Accent2 16" xfId="2353" xr:uid="{00000000-0005-0000-0000-0000FE070000}"/>
    <cellStyle name="Accent2 17" xfId="2354" xr:uid="{00000000-0005-0000-0000-0000FF070000}"/>
    <cellStyle name="Accent2 18" xfId="2355" xr:uid="{00000000-0005-0000-0000-000000080000}"/>
    <cellStyle name="Accent2 19" xfId="2356" xr:uid="{00000000-0005-0000-0000-000001080000}"/>
    <cellStyle name="Accent2 2" xfId="134" xr:uid="{00000000-0005-0000-0000-000002080000}"/>
    <cellStyle name="Accent2 2 10" xfId="2357" xr:uid="{00000000-0005-0000-0000-000003080000}"/>
    <cellStyle name="Accent2 2 11" xfId="2358" xr:uid="{00000000-0005-0000-0000-000004080000}"/>
    <cellStyle name="Accent2 2 12" xfId="2359" xr:uid="{00000000-0005-0000-0000-000005080000}"/>
    <cellStyle name="Accent2 2 13" xfId="2360" xr:uid="{00000000-0005-0000-0000-000006080000}"/>
    <cellStyle name="Accent2 2 14" xfId="2361" xr:uid="{00000000-0005-0000-0000-000007080000}"/>
    <cellStyle name="Accent2 2 15" xfId="2362" xr:uid="{00000000-0005-0000-0000-000008080000}"/>
    <cellStyle name="Accent2 2 16" xfId="2363" xr:uid="{00000000-0005-0000-0000-000009080000}"/>
    <cellStyle name="Accent2 2 17" xfId="2364" xr:uid="{00000000-0005-0000-0000-00000A080000}"/>
    <cellStyle name="Accent2 2 18" xfId="2365" xr:uid="{00000000-0005-0000-0000-00000B080000}"/>
    <cellStyle name="Accent2 2 2" xfId="2366" xr:uid="{00000000-0005-0000-0000-00000C080000}"/>
    <cellStyle name="Accent2 2 2 10" xfId="2367" xr:uid="{00000000-0005-0000-0000-00000D080000}"/>
    <cellStyle name="Accent2 2 2 11" xfId="2368" xr:uid="{00000000-0005-0000-0000-00000E080000}"/>
    <cellStyle name="Accent2 2 2 12" xfId="2369" xr:uid="{00000000-0005-0000-0000-00000F080000}"/>
    <cellStyle name="Accent2 2 2 13" xfId="2370" xr:uid="{00000000-0005-0000-0000-000010080000}"/>
    <cellStyle name="Accent2 2 2 14" xfId="2371" xr:uid="{00000000-0005-0000-0000-000011080000}"/>
    <cellStyle name="Accent2 2 2 15" xfId="2372" xr:uid="{00000000-0005-0000-0000-000012080000}"/>
    <cellStyle name="Accent2 2 2 16" xfId="2373" xr:uid="{00000000-0005-0000-0000-000013080000}"/>
    <cellStyle name="Accent2 2 2 17" xfId="2374" xr:uid="{00000000-0005-0000-0000-000014080000}"/>
    <cellStyle name="Accent2 2 2 18" xfId="2375" xr:uid="{00000000-0005-0000-0000-000015080000}"/>
    <cellStyle name="Accent2 2 2 2" xfId="2376" xr:uid="{00000000-0005-0000-0000-000016080000}"/>
    <cellStyle name="Accent2 2 2 3" xfId="2377" xr:uid="{00000000-0005-0000-0000-000017080000}"/>
    <cellStyle name="Accent2 2 2 4" xfId="2378" xr:uid="{00000000-0005-0000-0000-000018080000}"/>
    <cellStyle name="Accent2 2 2 5" xfId="2379" xr:uid="{00000000-0005-0000-0000-000019080000}"/>
    <cellStyle name="Accent2 2 2 6" xfId="2380" xr:uid="{00000000-0005-0000-0000-00001A080000}"/>
    <cellStyle name="Accent2 2 2 7" xfId="2381" xr:uid="{00000000-0005-0000-0000-00001B080000}"/>
    <cellStyle name="Accent2 2 2 8" xfId="2382" xr:uid="{00000000-0005-0000-0000-00001C080000}"/>
    <cellStyle name="Accent2 2 2 9" xfId="2383" xr:uid="{00000000-0005-0000-0000-00001D080000}"/>
    <cellStyle name="Accent2 2 2_Cash flow" xfId="6885" xr:uid="{41E7CE5A-BB15-41C6-8060-5268C30F452D}"/>
    <cellStyle name="Accent2 2 3" xfId="2384" xr:uid="{00000000-0005-0000-0000-00001F080000}"/>
    <cellStyle name="Accent2 2 3 2" xfId="2385" xr:uid="{00000000-0005-0000-0000-000020080000}"/>
    <cellStyle name="Accent2 2 3_Derivatives" xfId="2386" xr:uid="{00000000-0005-0000-0000-000021080000}"/>
    <cellStyle name="Accent2 2 4" xfId="2387" xr:uid="{00000000-0005-0000-0000-000022080000}"/>
    <cellStyle name="Accent2 2 4 2" xfId="2388" xr:uid="{00000000-0005-0000-0000-000023080000}"/>
    <cellStyle name="Accent2 2 5" xfId="2389" xr:uid="{00000000-0005-0000-0000-000024080000}"/>
    <cellStyle name="Accent2 2 6" xfId="2390" xr:uid="{00000000-0005-0000-0000-000025080000}"/>
    <cellStyle name="Accent2 2 7" xfId="2391" xr:uid="{00000000-0005-0000-0000-000026080000}"/>
    <cellStyle name="Accent2 2 8" xfId="2392" xr:uid="{00000000-0005-0000-0000-000027080000}"/>
    <cellStyle name="Accent2 2 9" xfId="2393" xr:uid="{00000000-0005-0000-0000-000028080000}"/>
    <cellStyle name="Accent2 2_5130_new" xfId="2394" xr:uid="{00000000-0005-0000-0000-000029080000}"/>
    <cellStyle name="Accent2 20" xfId="2395" xr:uid="{00000000-0005-0000-0000-00002A080000}"/>
    <cellStyle name="Accent2 21" xfId="2396" xr:uid="{00000000-0005-0000-0000-00002B080000}"/>
    <cellStyle name="Accent2 22" xfId="2397" xr:uid="{00000000-0005-0000-0000-00002C080000}"/>
    <cellStyle name="Accent2 23" xfId="2398" xr:uid="{00000000-0005-0000-0000-00002D080000}"/>
    <cellStyle name="Accent2 24" xfId="2399" xr:uid="{00000000-0005-0000-0000-00002E080000}"/>
    <cellStyle name="Accent2 25" xfId="2400" xr:uid="{00000000-0005-0000-0000-00002F080000}"/>
    <cellStyle name="Accent2 26" xfId="2401" xr:uid="{00000000-0005-0000-0000-000030080000}"/>
    <cellStyle name="Accent2 27" xfId="2402" xr:uid="{00000000-0005-0000-0000-000031080000}"/>
    <cellStyle name="Accent2 28" xfId="2403" xr:uid="{00000000-0005-0000-0000-000032080000}"/>
    <cellStyle name="Accent2 29" xfId="2404" xr:uid="{00000000-0005-0000-0000-000033080000}"/>
    <cellStyle name="Accent2 3" xfId="135" xr:uid="{00000000-0005-0000-0000-000034080000}"/>
    <cellStyle name="Accent2 3 2" xfId="2405" xr:uid="{00000000-0005-0000-0000-000035080000}"/>
    <cellStyle name="Accent2 3 3" xfId="2406" xr:uid="{00000000-0005-0000-0000-000036080000}"/>
    <cellStyle name="Accent2 3 4" xfId="2407" xr:uid="{00000000-0005-0000-0000-000037080000}"/>
    <cellStyle name="Accent2 3 5" xfId="2408" xr:uid="{00000000-0005-0000-0000-000038080000}"/>
    <cellStyle name="Accent2 3 6" xfId="2409" xr:uid="{00000000-0005-0000-0000-000039080000}"/>
    <cellStyle name="Accent2 3 7" xfId="2410" xr:uid="{00000000-0005-0000-0000-00003A080000}"/>
    <cellStyle name="Accent2 3 8" xfId="2411" xr:uid="{00000000-0005-0000-0000-00003B080000}"/>
    <cellStyle name="Accent2 3 9" xfId="2412" xr:uid="{00000000-0005-0000-0000-00003C080000}"/>
    <cellStyle name="Accent2 3_Acq input" xfId="6886" xr:uid="{FB2EB0D7-39EF-4AB6-97F2-A3C4FE33C18E}"/>
    <cellStyle name="Accent2 30" xfId="2413" xr:uid="{00000000-0005-0000-0000-00003E080000}"/>
    <cellStyle name="Accent2 31" xfId="2414" xr:uid="{00000000-0005-0000-0000-00003F080000}"/>
    <cellStyle name="Accent2 32" xfId="2415" xr:uid="{00000000-0005-0000-0000-000040080000}"/>
    <cellStyle name="Accent2 33" xfId="2416" xr:uid="{00000000-0005-0000-0000-000041080000}"/>
    <cellStyle name="Accent2 34" xfId="2417" xr:uid="{00000000-0005-0000-0000-000042080000}"/>
    <cellStyle name="Accent2 35" xfId="2418" xr:uid="{00000000-0005-0000-0000-000043080000}"/>
    <cellStyle name="Accent2 36" xfId="2419" xr:uid="{00000000-0005-0000-0000-000044080000}"/>
    <cellStyle name="Accent2 37" xfId="2420" xr:uid="{00000000-0005-0000-0000-000045080000}"/>
    <cellStyle name="Accent2 38" xfId="2421" xr:uid="{00000000-0005-0000-0000-000046080000}"/>
    <cellStyle name="Accent2 39" xfId="2422" xr:uid="{00000000-0005-0000-0000-000047080000}"/>
    <cellStyle name="Accent2 4" xfId="136" xr:uid="{00000000-0005-0000-0000-000048080000}"/>
    <cellStyle name="Accent2 4 2" xfId="2423" xr:uid="{00000000-0005-0000-0000-000049080000}"/>
    <cellStyle name="Accent2 4 3" xfId="2424" xr:uid="{00000000-0005-0000-0000-00004A080000}"/>
    <cellStyle name="Accent2 4_Acq input" xfId="6887" xr:uid="{F80E0E36-A64B-4C0D-92AE-C37A656D942A}"/>
    <cellStyle name="Accent2 40" xfId="2425" xr:uid="{00000000-0005-0000-0000-00004C080000}"/>
    <cellStyle name="Accent2 41" xfId="2426" xr:uid="{00000000-0005-0000-0000-00004D080000}"/>
    <cellStyle name="Accent2 42" xfId="2427" xr:uid="{00000000-0005-0000-0000-00004E080000}"/>
    <cellStyle name="Accent2 43" xfId="2428" xr:uid="{00000000-0005-0000-0000-00004F080000}"/>
    <cellStyle name="Accent2 44" xfId="2429" xr:uid="{00000000-0005-0000-0000-000050080000}"/>
    <cellStyle name="Accent2 45" xfId="2430" xr:uid="{00000000-0005-0000-0000-000051080000}"/>
    <cellStyle name="Accent2 46" xfId="2431" xr:uid="{00000000-0005-0000-0000-000052080000}"/>
    <cellStyle name="Accent2 47" xfId="2432" xr:uid="{00000000-0005-0000-0000-000053080000}"/>
    <cellStyle name="Accent2 48" xfId="2433" xr:uid="{00000000-0005-0000-0000-000054080000}"/>
    <cellStyle name="Accent2 49" xfId="2434" xr:uid="{00000000-0005-0000-0000-000055080000}"/>
    <cellStyle name="Accent2 5" xfId="137" xr:uid="{00000000-0005-0000-0000-000056080000}"/>
    <cellStyle name="Accent2 5 2" xfId="6888" xr:uid="{DC32001D-803B-42E0-B0D1-B18D5FC17CB3}"/>
    <cellStyle name="Accent2 5_Acq input" xfId="6889" xr:uid="{ED953453-ABD5-4760-A31C-9DD037C935F0}"/>
    <cellStyle name="Accent2 50" xfId="2435" xr:uid="{00000000-0005-0000-0000-000057080000}"/>
    <cellStyle name="Accent2 51" xfId="2436" xr:uid="{00000000-0005-0000-0000-000058080000}"/>
    <cellStyle name="Accent2 52" xfId="2437" xr:uid="{00000000-0005-0000-0000-000059080000}"/>
    <cellStyle name="Accent2 53" xfId="2438" xr:uid="{00000000-0005-0000-0000-00005A080000}"/>
    <cellStyle name="Accent2 54" xfId="2439" xr:uid="{00000000-0005-0000-0000-00005B080000}"/>
    <cellStyle name="Accent2 55" xfId="2440" xr:uid="{00000000-0005-0000-0000-00005C080000}"/>
    <cellStyle name="Accent2 56" xfId="2441" xr:uid="{00000000-0005-0000-0000-00005D080000}"/>
    <cellStyle name="Accent2 57" xfId="2442" xr:uid="{00000000-0005-0000-0000-00005E080000}"/>
    <cellStyle name="Accent2 58" xfId="2443" xr:uid="{00000000-0005-0000-0000-00005F080000}"/>
    <cellStyle name="Accent2 59" xfId="2444" xr:uid="{00000000-0005-0000-0000-000060080000}"/>
    <cellStyle name="Accent2 6" xfId="2445" xr:uid="{00000000-0005-0000-0000-000061080000}"/>
    <cellStyle name="Accent2 6 2" xfId="6890" xr:uid="{EF6F040F-6561-44FE-A7EE-FC449A4B0AF8}"/>
    <cellStyle name="Accent2 6_Acq input" xfId="6891" xr:uid="{51333831-E666-4A42-908E-6878FF7A2786}"/>
    <cellStyle name="Accent2 60" xfId="2446" xr:uid="{00000000-0005-0000-0000-000062080000}"/>
    <cellStyle name="Accent2 61" xfId="2447" xr:uid="{00000000-0005-0000-0000-000063080000}"/>
    <cellStyle name="Accent2 62" xfId="2448" xr:uid="{00000000-0005-0000-0000-000064080000}"/>
    <cellStyle name="Accent2 63" xfId="2449" xr:uid="{00000000-0005-0000-0000-000065080000}"/>
    <cellStyle name="Accent2 64" xfId="2450" xr:uid="{00000000-0005-0000-0000-000066080000}"/>
    <cellStyle name="Accent2 65" xfId="2451" xr:uid="{00000000-0005-0000-0000-000067080000}"/>
    <cellStyle name="Accent2 66" xfId="2452" xr:uid="{00000000-0005-0000-0000-000068080000}"/>
    <cellStyle name="Accent2 67" xfId="2453" xr:uid="{00000000-0005-0000-0000-000069080000}"/>
    <cellStyle name="Accent2 68" xfId="2454" xr:uid="{00000000-0005-0000-0000-00006A080000}"/>
    <cellStyle name="Accent2 69" xfId="2455" xr:uid="{00000000-0005-0000-0000-00006B080000}"/>
    <cellStyle name="Accent2 7" xfId="2456" xr:uid="{00000000-0005-0000-0000-00006C080000}"/>
    <cellStyle name="Accent2 7 2" xfId="6892" xr:uid="{C3AD9BA8-EC21-4329-BF3E-E9DD498EEEE9}"/>
    <cellStyle name="Accent2 7_Acq input" xfId="6893" xr:uid="{148AC52E-F918-4A52-8456-72A724068D05}"/>
    <cellStyle name="Accent2 70" xfId="2457" xr:uid="{00000000-0005-0000-0000-00006D080000}"/>
    <cellStyle name="Accent2 71" xfId="2458" xr:uid="{00000000-0005-0000-0000-00006E080000}"/>
    <cellStyle name="Accent2 72" xfId="2459" xr:uid="{00000000-0005-0000-0000-00006F080000}"/>
    <cellStyle name="Accent2 73" xfId="2460" xr:uid="{00000000-0005-0000-0000-000070080000}"/>
    <cellStyle name="Accent2 74" xfId="2461" xr:uid="{00000000-0005-0000-0000-000071080000}"/>
    <cellStyle name="Accent2 75" xfId="2462" xr:uid="{00000000-0005-0000-0000-000072080000}"/>
    <cellStyle name="Accent2 8" xfId="2463" xr:uid="{00000000-0005-0000-0000-000073080000}"/>
    <cellStyle name="Accent2 8 2" xfId="6894" xr:uid="{35448686-6CBA-4A0C-9D24-4780090135E6}"/>
    <cellStyle name="Accent2 8_Acq input" xfId="6895" xr:uid="{D676D608-F91A-4DA5-9D23-10499EFBEF85}"/>
    <cellStyle name="Accent2 9" xfId="2464" xr:uid="{00000000-0005-0000-0000-000074080000}"/>
    <cellStyle name="Accent2 9 2" xfId="6896" xr:uid="{BB4ECD91-2537-413F-AC89-E80A0D9682DC}"/>
    <cellStyle name="Accent2 9_Acq input" xfId="6897" xr:uid="{4E8B60CD-99C9-4DC0-9BDA-E66D9446A07C}"/>
    <cellStyle name="Accent3 - 20%" xfId="138" xr:uid="{00000000-0005-0000-0000-000075080000}"/>
    <cellStyle name="Accent3 - 20% 2" xfId="2465" xr:uid="{00000000-0005-0000-0000-000076080000}"/>
    <cellStyle name="Accent3 - 20%_5130_new" xfId="2466" xr:uid="{00000000-0005-0000-0000-000077080000}"/>
    <cellStyle name="Accent3 - 40%" xfId="139" xr:uid="{00000000-0005-0000-0000-000078080000}"/>
    <cellStyle name="Accent3 - 40% 2" xfId="2467" xr:uid="{00000000-0005-0000-0000-000079080000}"/>
    <cellStyle name="Accent3 - 40%_5130_new" xfId="2468" xr:uid="{00000000-0005-0000-0000-00007A080000}"/>
    <cellStyle name="Accent3 - 60%" xfId="140" xr:uid="{00000000-0005-0000-0000-00007B080000}"/>
    <cellStyle name="Accent3 10" xfId="2469" xr:uid="{00000000-0005-0000-0000-00007C080000}"/>
    <cellStyle name="Accent3 11" xfId="2470" xr:uid="{00000000-0005-0000-0000-00007D080000}"/>
    <cellStyle name="Accent3 12" xfId="2471" xr:uid="{00000000-0005-0000-0000-00007E080000}"/>
    <cellStyle name="Accent3 13" xfId="2472" xr:uid="{00000000-0005-0000-0000-00007F080000}"/>
    <cellStyle name="Accent3 14" xfId="2473" xr:uid="{00000000-0005-0000-0000-000080080000}"/>
    <cellStyle name="Accent3 15" xfId="2474" xr:uid="{00000000-0005-0000-0000-000081080000}"/>
    <cellStyle name="Accent3 16" xfId="2475" xr:uid="{00000000-0005-0000-0000-000082080000}"/>
    <cellStyle name="Accent3 17" xfId="2476" xr:uid="{00000000-0005-0000-0000-000083080000}"/>
    <cellStyle name="Accent3 18" xfId="2477" xr:uid="{00000000-0005-0000-0000-000084080000}"/>
    <cellStyle name="Accent3 19" xfId="2478" xr:uid="{00000000-0005-0000-0000-000085080000}"/>
    <cellStyle name="Accent3 2" xfId="141" xr:uid="{00000000-0005-0000-0000-000086080000}"/>
    <cellStyle name="Accent3 2 10" xfId="2479" xr:uid="{00000000-0005-0000-0000-000087080000}"/>
    <cellStyle name="Accent3 2 11" xfId="2480" xr:uid="{00000000-0005-0000-0000-000088080000}"/>
    <cellStyle name="Accent3 2 12" xfId="2481" xr:uid="{00000000-0005-0000-0000-000089080000}"/>
    <cellStyle name="Accent3 2 13" xfId="2482" xr:uid="{00000000-0005-0000-0000-00008A080000}"/>
    <cellStyle name="Accent3 2 14" xfId="2483" xr:uid="{00000000-0005-0000-0000-00008B080000}"/>
    <cellStyle name="Accent3 2 15" xfId="2484" xr:uid="{00000000-0005-0000-0000-00008C080000}"/>
    <cellStyle name="Accent3 2 16" xfId="2485" xr:uid="{00000000-0005-0000-0000-00008D080000}"/>
    <cellStyle name="Accent3 2 17" xfId="2486" xr:uid="{00000000-0005-0000-0000-00008E080000}"/>
    <cellStyle name="Accent3 2 18" xfId="2487" xr:uid="{00000000-0005-0000-0000-00008F080000}"/>
    <cellStyle name="Accent3 2 2" xfId="2488" xr:uid="{00000000-0005-0000-0000-000090080000}"/>
    <cellStyle name="Accent3 2 2 10" xfId="2489" xr:uid="{00000000-0005-0000-0000-000091080000}"/>
    <cellStyle name="Accent3 2 2 11" xfId="2490" xr:uid="{00000000-0005-0000-0000-000092080000}"/>
    <cellStyle name="Accent3 2 2 12" xfId="2491" xr:uid="{00000000-0005-0000-0000-000093080000}"/>
    <cellStyle name="Accent3 2 2 13" xfId="2492" xr:uid="{00000000-0005-0000-0000-000094080000}"/>
    <cellStyle name="Accent3 2 2 14" xfId="2493" xr:uid="{00000000-0005-0000-0000-000095080000}"/>
    <cellStyle name="Accent3 2 2 15" xfId="2494" xr:uid="{00000000-0005-0000-0000-000096080000}"/>
    <cellStyle name="Accent3 2 2 16" xfId="2495" xr:uid="{00000000-0005-0000-0000-000097080000}"/>
    <cellStyle name="Accent3 2 2 17" xfId="2496" xr:uid="{00000000-0005-0000-0000-000098080000}"/>
    <cellStyle name="Accent3 2 2 18" xfId="2497" xr:uid="{00000000-0005-0000-0000-000099080000}"/>
    <cellStyle name="Accent3 2 2 2" xfId="2498" xr:uid="{00000000-0005-0000-0000-00009A080000}"/>
    <cellStyle name="Accent3 2 2 3" xfId="2499" xr:uid="{00000000-0005-0000-0000-00009B080000}"/>
    <cellStyle name="Accent3 2 2 4" xfId="2500" xr:uid="{00000000-0005-0000-0000-00009C080000}"/>
    <cellStyle name="Accent3 2 2 5" xfId="2501" xr:uid="{00000000-0005-0000-0000-00009D080000}"/>
    <cellStyle name="Accent3 2 2 6" xfId="2502" xr:uid="{00000000-0005-0000-0000-00009E080000}"/>
    <cellStyle name="Accent3 2 2 7" xfId="2503" xr:uid="{00000000-0005-0000-0000-00009F080000}"/>
    <cellStyle name="Accent3 2 2 8" xfId="2504" xr:uid="{00000000-0005-0000-0000-0000A0080000}"/>
    <cellStyle name="Accent3 2 2 9" xfId="2505" xr:uid="{00000000-0005-0000-0000-0000A1080000}"/>
    <cellStyle name="Accent3 2 2_Cash flow" xfId="6898" xr:uid="{4E05F6A0-B28D-43CF-9717-E882A7D91B38}"/>
    <cellStyle name="Accent3 2 3" xfId="2506" xr:uid="{00000000-0005-0000-0000-0000A3080000}"/>
    <cellStyle name="Accent3 2 3 2" xfId="2507" xr:uid="{00000000-0005-0000-0000-0000A4080000}"/>
    <cellStyle name="Accent3 2 3_Derivatives" xfId="2508" xr:uid="{00000000-0005-0000-0000-0000A5080000}"/>
    <cellStyle name="Accent3 2 4" xfId="2509" xr:uid="{00000000-0005-0000-0000-0000A6080000}"/>
    <cellStyle name="Accent3 2 4 2" xfId="2510" xr:uid="{00000000-0005-0000-0000-0000A7080000}"/>
    <cellStyle name="Accent3 2 5" xfId="2511" xr:uid="{00000000-0005-0000-0000-0000A8080000}"/>
    <cellStyle name="Accent3 2 6" xfId="2512" xr:uid="{00000000-0005-0000-0000-0000A9080000}"/>
    <cellStyle name="Accent3 2 7" xfId="2513" xr:uid="{00000000-0005-0000-0000-0000AA080000}"/>
    <cellStyle name="Accent3 2 8" xfId="2514" xr:uid="{00000000-0005-0000-0000-0000AB080000}"/>
    <cellStyle name="Accent3 2 9" xfId="2515" xr:uid="{00000000-0005-0000-0000-0000AC080000}"/>
    <cellStyle name="Accent3 2_5130_new" xfId="2516" xr:uid="{00000000-0005-0000-0000-0000AD080000}"/>
    <cellStyle name="Accent3 20" xfId="2517" xr:uid="{00000000-0005-0000-0000-0000AE080000}"/>
    <cellStyle name="Accent3 21" xfId="2518" xr:uid="{00000000-0005-0000-0000-0000AF080000}"/>
    <cellStyle name="Accent3 22" xfId="2519" xr:uid="{00000000-0005-0000-0000-0000B0080000}"/>
    <cellStyle name="Accent3 23" xfId="2520" xr:uid="{00000000-0005-0000-0000-0000B1080000}"/>
    <cellStyle name="Accent3 24" xfId="2521" xr:uid="{00000000-0005-0000-0000-0000B2080000}"/>
    <cellStyle name="Accent3 25" xfId="2522" xr:uid="{00000000-0005-0000-0000-0000B3080000}"/>
    <cellStyle name="Accent3 26" xfId="2523" xr:uid="{00000000-0005-0000-0000-0000B4080000}"/>
    <cellStyle name="Accent3 27" xfId="2524" xr:uid="{00000000-0005-0000-0000-0000B5080000}"/>
    <cellStyle name="Accent3 28" xfId="2525" xr:uid="{00000000-0005-0000-0000-0000B6080000}"/>
    <cellStyle name="Accent3 29" xfId="2526" xr:uid="{00000000-0005-0000-0000-0000B7080000}"/>
    <cellStyle name="Accent3 3" xfId="142" xr:uid="{00000000-0005-0000-0000-0000B8080000}"/>
    <cellStyle name="Accent3 3 2" xfId="2527" xr:uid="{00000000-0005-0000-0000-0000B9080000}"/>
    <cellStyle name="Accent3 3 3" xfId="2528" xr:uid="{00000000-0005-0000-0000-0000BA080000}"/>
    <cellStyle name="Accent3 3 4" xfId="2529" xr:uid="{00000000-0005-0000-0000-0000BB080000}"/>
    <cellStyle name="Accent3 3 5" xfId="2530" xr:uid="{00000000-0005-0000-0000-0000BC080000}"/>
    <cellStyle name="Accent3 3 6" xfId="2531" xr:uid="{00000000-0005-0000-0000-0000BD080000}"/>
    <cellStyle name="Accent3 3 7" xfId="2532" xr:uid="{00000000-0005-0000-0000-0000BE080000}"/>
    <cellStyle name="Accent3 3 8" xfId="2533" xr:uid="{00000000-0005-0000-0000-0000BF080000}"/>
    <cellStyle name="Accent3 3 9" xfId="2534" xr:uid="{00000000-0005-0000-0000-0000C0080000}"/>
    <cellStyle name="Accent3 3_Acq input" xfId="6899" xr:uid="{AD7352E6-0F60-4747-AACA-5CE0C1801AB5}"/>
    <cellStyle name="Accent3 30" xfId="2535" xr:uid="{00000000-0005-0000-0000-0000C2080000}"/>
    <cellStyle name="Accent3 31" xfId="2536" xr:uid="{00000000-0005-0000-0000-0000C3080000}"/>
    <cellStyle name="Accent3 32" xfId="2537" xr:uid="{00000000-0005-0000-0000-0000C4080000}"/>
    <cellStyle name="Accent3 33" xfId="2538" xr:uid="{00000000-0005-0000-0000-0000C5080000}"/>
    <cellStyle name="Accent3 34" xfId="2539" xr:uid="{00000000-0005-0000-0000-0000C6080000}"/>
    <cellStyle name="Accent3 35" xfId="2540" xr:uid="{00000000-0005-0000-0000-0000C7080000}"/>
    <cellStyle name="Accent3 36" xfId="2541" xr:uid="{00000000-0005-0000-0000-0000C8080000}"/>
    <cellStyle name="Accent3 37" xfId="2542" xr:uid="{00000000-0005-0000-0000-0000C9080000}"/>
    <cellStyle name="Accent3 38" xfId="2543" xr:uid="{00000000-0005-0000-0000-0000CA080000}"/>
    <cellStyle name="Accent3 39" xfId="2544" xr:uid="{00000000-0005-0000-0000-0000CB080000}"/>
    <cellStyle name="Accent3 4" xfId="143" xr:uid="{00000000-0005-0000-0000-0000CC080000}"/>
    <cellStyle name="Accent3 4 2" xfId="2545" xr:uid="{00000000-0005-0000-0000-0000CD080000}"/>
    <cellStyle name="Accent3 4 3" xfId="2546" xr:uid="{00000000-0005-0000-0000-0000CE080000}"/>
    <cellStyle name="Accent3 4_Acq input" xfId="6900" xr:uid="{A61BBA86-840F-47A1-A812-EA697B66C547}"/>
    <cellStyle name="Accent3 40" xfId="2547" xr:uid="{00000000-0005-0000-0000-0000D0080000}"/>
    <cellStyle name="Accent3 41" xfId="2548" xr:uid="{00000000-0005-0000-0000-0000D1080000}"/>
    <cellStyle name="Accent3 42" xfId="2549" xr:uid="{00000000-0005-0000-0000-0000D2080000}"/>
    <cellStyle name="Accent3 43" xfId="2550" xr:uid="{00000000-0005-0000-0000-0000D3080000}"/>
    <cellStyle name="Accent3 44" xfId="2551" xr:uid="{00000000-0005-0000-0000-0000D4080000}"/>
    <cellStyle name="Accent3 45" xfId="2552" xr:uid="{00000000-0005-0000-0000-0000D5080000}"/>
    <cellStyle name="Accent3 46" xfId="2553" xr:uid="{00000000-0005-0000-0000-0000D6080000}"/>
    <cellStyle name="Accent3 47" xfId="2554" xr:uid="{00000000-0005-0000-0000-0000D7080000}"/>
    <cellStyle name="Accent3 48" xfId="2555" xr:uid="{00000000-0005-0000-0000-0000D8080000}"/>
    <cellStyle name="Accent3 49" xfId="2556" xr:uid="{00000000-0005-0000-0000-0000D9080000}"/>
    <cellStyle name="Accent3 5" xfId="144" xr:uid="{00000000-0005-0000-0000-0000DA080000}"/>
    <cellStyle name="Accent3 5 2" xfId="6901" xr:uid="{43813BAB-35A9-45AB-977C-110673947E0A}"/>
    <cellStyle name="Accent3 5_Acq input" xfId="6902" xr:uid="{43CC18A9-3EAE-41CB-B6A9-6FEFF61708B2}"/>
    <cellStyle name="Accent3 50" xfId="2557" xr:uid="{00000000-0005-0000-0000-0000DB080000}"/>
    <cellStyle name="Accent3 51" xfId="2558" xr:uid="{00000000-0005-0000-0000-0000DC080000}"/>
    <cellStyle name="Accent3 52" xfId="2559" xr:uid="{00000000-0005-0000-0000-0000DD080000}"/>
    <cellStyle name="Accent3 53" xfId="2560" xr:uid="{00000000-0005-0000-0000-0000DE080000}"/>
    <cellStyle name="Accent3 54" xfId="2561" xr:uid="{00000000-0005-0000-0000-0000DF080000}"/>
    <cellStyle name="Accent3 55" xfId="2562" xr:uid="{00000000-0005-0000-0000-0000E0080000}"/>
    <cellStyle name="Accent3 56" xfId="2563" xr:uid="{00000000-0005-0000-0000-0000E1080000}"/>
    <cellStyle name="Accent3 57" xfId="2564" xr:uid="{00000000-0005-0000-0000-0000E2080000}"/>
    <cellStyle name="Accent3 58" xfId="2565" xr:uid="{00000000-0005-0000-0000-0000E3080000}"/>
    <cellStyle name="Accent3 59" xfId="2566" xr:uid="{00000000-0005-0000-0000-0000E4080000}"/>
    <cellStyle name="Accent3 6" xfId="2567" xr:uid="{00000000-0005-0000-0000-0000E5080000}"/>
    <cellStyle name="Accent3 6 2" xfId="6903" xr:uid="{27BD4B3F-7C69-46F3-BA98-C5057066EA9F}"/>
    <cellStyle name="Accent3 6_Acq input" xfId="6904" xr:uid="{D8327C29-D040-439F-878F-F753D561FC73}"/>
    <cellStyle name="Accent3 60" xfId="2568" xr:uid="{00000000-0005-0000-0000-0000E6080000}"/>
    <cellStyle name="Accent3 61" xfId="2569" xr:uid="{00000000-0005-0000-0000-0000E7080000}"/>
    <cellStyle name="Accent3 62" xfId="2570" xr:uid="{00000000-0005-0000-0000-0000E8080000}"/>
    <cellStyle name="Accent3 63" xfId="2571" xr:uid="{00000000-0005-0000-0000-0000E9080000}"/>
    <cellStyle name="Accent3 64" xfId="2572" xr:uid="{00000000-0005-0000-0000-0000EA080000}"/>
    <cellStyle name="Accent3 65" xfId="2573" xr:uid="{00000000-0005-0000-0000-0000EB080000}"/>
    <cellStyle name="Accent3 66" xfId="2574" xr:uid="{00000000-0005-0000-0000-0000EC080000}"/>
    <cellStyle name="Accent3 67" xfId="2575" xr:uid="{00000000-0005-0000-0000-0000ED080000}"/>
    <cellStyle name="Accent3 68" xfId="2576" xr:uid="{00000000-0005-0000-0000-0000EE080000}"/>
    <cellStyle name="Accent3 69" xfId="2577" xr:uid="{00000000-0005-0000-0000-0000EF080000}"/>
    <cellStyle name="Accent3 7" xfId="2578" xr:uid="{00000000-0005-0000-0000-0000F0080000}"/>
    <cellStyle name="Accent3 7 2" xfId="6905" xr:uid="{151A1477-B957-4E19-A74C-A74A3A47C3B4}"/>
    <cellStyle name="Accent3 7_Acq input" xfId="6906" xr:uid="{82E23F7F-F196-4B15-982D-78F7599A02A7}"/>
    <cellStyle name="Accent3 70" xfId="2579" xr:uid="{00000000-0005-0000-0000-0000F1080000}"/>
    <cellStyle name="Accent3 71" xfId="2580" xr:uid="{00000000-0005-0000-0000-0000F2080000}"/>
    <cellStyle name="Accent3 72" xfId="2581" xr:uid="{00000000-0005-0000-0000-0000F3080000}"/>
    <cellStyle name="Accent3 73" xfId="2582" xr:uid="{00000000-0005-0000-0000-0000F4080000}"/>
    <cellStyle name="Accent3 74" xfId="2583" xr:uid="{00000000-0005-0000-0000-0000F5080000}"/>
    <cellStyle name="Accent3 75" xfId="2584" xr:uid="{00000000-0005-0000-0000-0000F6080000}"/>
    <cellStyle name="Accent3 8" xfId="2585" xr:uid="{00000000-0005-0000-0000-0000F7080000}"/>
    <cellStyle name="Accent3 8 2" xfId="6907" xr:uid="{285F517F-DCE7-4CDB-8E00-D9AF938AEB27}"/>
    <cellStyle name="Accent3 8_Acq input" xfId="6908" xr:uid="{13980265-3439-4177-80A5-2D7686E9C169}"/>
    <cellStyle name="Accent3 9" xfId="2586" xr:uid="{00000000-0005-0000-0000-0000F8080000}"/>
    <cellStyle name="Accent3 9 2" xfId="6909" xr:uid="{38F4FFD4-9A2B-4B5A-842A-E77DB5030A48}"/>
    <cellStyle name="Accent3 9_Acq input" xfId="6910" xr:uid="{9E18CEE0-14EC-40D3-99C5-81B4F4057811}"/>
    <cellStyle name="Accent4 - 20%" xfId="145" xr:uid="{00000000-0005-0000-0000-0000F9080000}"/>
    <cellStyle name="Accent4 - 20% 2" xfId="2587" xr:uid="{00000000-0005-0000-0000-0000FA080000}"/>
    <cellStyle name="Accent4 - 20%_5130_new" xfId="2588" xr:uid="{00000000-0005-0000-0000-0000FB080000}"/>
    <cellStyle name="Accent4 - 40%" xfId="146" xr:uid="{00000000-0005-0000-0000-0000FC080000}"/>
    <cellStyle name="Accent4 - 40% 2" xfId="2589" xr:uid="{00000000-0005-0000-0000-0000FD080000}"/>
    <cellStyle name="Accent4 - 40%_5130_new" xfId="2590" xr:uid="{00000000-0005-0000-0000-0000FE080000}"/>
    <cellStyle name="Accent4 - 60%" xfId="147" xr:uid="{00000000-0005-0000-0000-0000FF080000}"/>
    <cellStyle name="Accent4 10" xfId="2591" xr:uid="{00000000-0005-0000-0000-000000090000}"/>
    <cellStyle name="Accent4 11" xfId="2592" xr:uid="{00000000-0005-0000-0000-000001090000}"/>
    <cellStyle name="Accent4 12" xfId="2593" xr:uid="{00000000-0005-0000-0000-000002090000}"/>
    <cellStyle name="Accent4 13" xfId="2594" xr:uid="{00000000-0005-0000-0000-000003090000}"/>
    <cellStyle name="Accent4 14" xfId="2595" xr:uid="{00000000-0005-0000-0000-000004090000}"/>
    <cellStyle name="Accent4 15" xfId="2596" xr:uid="{00000000-0005-0000-0000-000005090000}"/>
    <cellStyle name="Accent4 16" xfId="2597" xr:uid="{00000000-0005-0000-0000-000006090000}"/>
    <cellStyle name="Accent4 17" xfId="2598" xr:uid="{00000000-0005-0000-0000-000007090000}"/>
    <cellStyle name="Accent4 18" xfId="2599" xr:uid="{00000000-0005-0000-0000-000008090000}"/>
    <cellStyle name="Accent4 19" xfId="2600" xr:uid="{00000000-0005-0000-0000-000009090000}"/>
    <cellStyle name="Accent4 2" xfId="148" xr:uid="{00000000-0005-0000-0000-00000A090000}"/>
    <cellStyle name="Accent4 2 10" xfId="2601" xr:uid="{00000000-0005-0000-0000-00000B090000}"/>
    <cellStyle name="Accent4 2 11" xfId="2602" xr:uid="{00000000-0005-0000-0000-00000C090000}"/>
    <cellStyle name="Accent4 2 12" xfId="2603" xr:uid="{00000000-0005-0000-0000-00000D090000}"/>
    <cellStyle name="Accent4 2 13" xfId="2604" xr:uid="{00000000-0005-0000-0000-00000E090000}"/>
    <cellStyle name="Accent4 2 14" xfId="2605" xr:uid="{00000000-0005-0000-0000-00000F090000}"/>
    <cellStyle name="Accent4 2 15" xfId="2606" xr:uid="{00000000-0005-0000-0000-000010090000}"/>
    <cellStyle name="Accent4 2 16" xfId="2607" xr:uid="{00000000-0005-0000-0000-000011090000}"/>
    <cellStyle name="Accent4 2 17" xfId="2608" xr:uid="{00000000-0005-0000-0000-000012090000}"/>
    <cellStyle name="Accent4 2 18" xfId="2609" xr:uid="{00000000-0005-0000-0000-000013090000}"/>
    <cellStyle name="Accent4 2 2" xfId="2610" xr:uid="{00000000-0005-0000-0000-000014090000}"/>
    <cellStyle name="Accent4 2 2 10" xfId="2611" xr:uid="{00000000-0005-0000-0000-000015090000}"/>
    <cellStyle name="Accent4 2 2 11" xfId="2612" xr:uid="{00000000-0005-0000-0000-000016090000}"/>
    <cellStyle name="Accent4 2 2 12" xfId="2613" xr:uid="{00000000-0005-0000-0000-000017090000}"/>
    <cellStyle name="Accent4 2 2 13" xfId="2614" xr:uid="{00000000-0005-0000-0000-000018090000}"/>
    <cellStyle name="Accent4 2 2 14" xfId="2615" xr:uid="{00000000-0005-0000-0000-000019090000}"/>
    <cellStyle name="Accent4 2 2 15" xfId="2616" xr:uid="{00000000-0005-0000-0000-00001A090000}"/>
    <cellStyle name="Accent4 2 2 16" xfId="2617" xr:uid="{00000000-0005-0000-0000-00001B090000}"/>
    <cellStyle name="Accent4 2 2 17" xfId="2618" xr:uid="{00000000-0005-0000-0000-00001C090000}"/>
    <cellStyle name="Accent4 2 2 18" xfId="2619" xr:uid="{00000000-0005-0000-0000-00001D090000}"/>
    <cellStyle name="Accent4 2 2 2" xfId="2620" xr:uid="{00000000-0005-0000-0000-00001E090000}"/>
    <cellStyle name="Accent4 2 2 2 2" xfId="2621" xr:uid="{00000000-0005-0000-0000-00001F090000}"/>
    <cellStyle name="Accent4 2 2 3" xfId="2622" xr:uid="{00000000-0005-0000-0000-000020090000}"/>
    <cellStyle name="Accent4 2 2 4" xfId="2623" xr:uid="{00000000-0005-0000-0000-000021090000}"/>
    <cellStyle name="Accent4 2 2 5" xfId="2624" xr:uid="{00000000-0005-0000-0000-000022090000}"/>
    <cellStyle name="Accent4 2 2 6" xfId="2625" xr:uid="{00000000-0005-0000-0000-000023090000}"/>
    <cellStyle name="Accent4 2 2 7" xfId="2626" xr:uid="{00000000-0005-0000-0000-000024090000}"/>
    <cellStyle name="Accent4 2 2 8" xfId="2627" xr:uid="{00000000-0005-0000-0000-000025090000}"/>
    <cellStyle name="Accent4 2 2 9" xfId="2628" xr:uid="{00000000-0005-0000-0000-000026090000}"/>
    <cellStyle name="Accent4 2 2_Cash flow" xfId="6911" xr:uid="{36EF8BCA-0494-42FA-BCD7-38C4F29FE3DB}"/>
    <cellStyle name="Accent4 2 3" xfId="2629" xr:uid="{00000000-0005-0000-0000-000028090000}"/>
    <cellStyle name="Accent4 2 3 2" xfId="2630" xr:uid="{00000000-0005-0000-0000-000029090000}"/>
    <cellStyle name="Accent4 2 3_Derivatives" xfId="2631" xr:uid="{00000000-0005-0000-0000-00002A090000}"/>
    <cellStyle name="Accent4 2 4" xfId="2632" xr:uid="{00000000-0005-0000-0000-00002B090000}"/>
    <cellStyle name="Accent4 2 4 2" xfId="2633" xr:uid="{00000000-0005-0000-0000-00002C090000}"/>
    <cellStyle name="Accent4 2 5" xfId="2634" xr:uid="{00000000-0005-0000-0000-00002D090000}"/>
    <cellStyle name="Accent4 2 6" xfId="2635" xr:uid="{00000000-0005-0000-0000-00002E090000}"/>
    <cellStyle name="Accent4 2 7" xfId="2636" xr:uid="{00000000-0005-0000-0000-00002F090000}"/>
    <cellStyle name="Accent4 2 8" xfId="2637" xr:uid="{00000000-0005-0000-0000-000030090000}"/>
    <cellStyle name="Accent4 2 8 2" xfId="2638" xr:uid="{00000000-0005-0000-0000-000031090000}"/>
    <cellStyle name="Accent4 2 8_Derivatives" xfId="2639" xr:uid="{00000000-0005-0000-0000-000032090000}"/>
    <cellStyle name="Accent4 2 9" xfId="2640" xr:uid="{00000000-0005-0000-0000-000033090000}"/>
    <cellStyle name="Accent4 2_5130_new" xfId="2641" xr:uid="{00000000-0005-0000-0000-000034090000}"/>
    <cellStyle name="Accent4 20" xfId="2642" xr:uid="{00000000-0005-0000-0000-000035090000}"/>
    <cellStyle name="Accent4 21" xfId="2643" xr:uid="{00000000-0005-0000-0000-000036090000}"/>
    <cellStyle name="Accent4 22" xfId="2644" xr:uid="{00000000-0005-0000-0000-000037090000}"/>
    <cellStyle name="Accent4 23" xfId="2645" xr:uid="{00000000-0005-0000-0000-000038090000}"/>
    <cellStyle name="Accent4 24" xfId="2646" xr:uid="{00000000-0005-0000-0000-000039090000}"/>
    <cellStyle name="Accent4 25" xfId="2647" xr:uid="{00000000-0005-0000-0000-00003A090000}"/>
    <cellStyle name="Accent4 26" xfId="2648" xr:uid="{00000000-0005-0000-0000-00003B090000}"/>
    <cellStyle name="Accent4 27" xfId="2649" xr:uid="{00000000-0005-0000-0000-00003C090000}"/>
    <cellStyle name="Accent4 28" xfId="2650" xr:uid="{00000000-0005-0000-0000-00003D090000}"/>
    <cellStyle name="Accent4 29" xfId="2651" xr:uid="{00000000-0005-0000-0000-00003E090000}"/>
    <cellStyle name="Accent4 3" xfId="149" xr:uid="{00000000-0005-0000-0000-00003F090000}"/>
    <cellStyle name="Accent4 3 2" xfId="2652" xr:uid="{00000000-0005-0000-0000-000040090000}"/>
    <cellStyle name="Accent4 3 2 2" xfId="2653" xr:uid="{00000000-0005-0000-0000-000041090000}"/>
    <cellStyle name="Accent4 3 2 3" xfId="2654" xr:uid="{00000000-0005-0000-0000-000042090000}"/>
    <cellStyle name="Accent4 3 2_Cash flow" xfId="6912" xr:uid="{BF51A16E-D820-446E-876A-861710B2E99D}"/>
    <cellStyle name="Accent4 3 3" xfId="2655" xr:uid="{00000000-0005-0000-0000-000043090000}"/>
    <cellStyle name="Accent4 3 3 2" xfId="2656" xr:uid="{00000000-0005-0000-0000-000044090000}"/>
    <cellStyle name="Accent4 3 3_Derivatives" xfId="2657" xr:uid="{00000000-0005-0000-0000-000045090000}"/>
    <cellStyle name="Accent4 3 4" xfId="2658" xr:uid="{00000000-0005-0000-0000-000046090000}"/>
    <cellStyle name="Accent4 3 5" xfId="2659" xr:uid="{00000000-0005-0000-0000-000047090000}"/>
    <cellStyle name="Accent4 3 6" xfId="2660" xr:uid="{00000000-0005-0000-0000-000048090000}"/>
    <cellStyle name="Accent4 3 7" xfId="2661" xr:uid="{00000000-0005-0000-0000-000049090000}"/>
    <cellStyle name="Accent4 3 8" xfId="2662" xr:uid="{00000000-0005-0000-0000-00004A090000}"/>
    <cellStyle name="Accent4 3 9" xfId="2663" xr:uid="{00000000-0005-0000-0000-00004B090000}"/>
    <cellStyle name="Accent4 3_Acq input" xfId="6913" xr:uid="{A757DFB3-DC0A-428B-891A-F90433D6B2E1}"/>
    <cellStyle name="Accent4 30" xfId="2664" xr:uid="{00000000-0005-0000-0000-00004D090000}"/>
    <cellStyle name="Accent4 31" xfId="2665" xr:uid="{00000000-0005-0000-0000-00004E090000}"/>
    <cellStyle name="Accent4 32" xfId="2666" xr:uid="{00000000-0005-0000-0000-00004F090000}"/>
    <cellStyle name="Accent4 33" xfId="2667" xr:uid="{00000000-0005-0000-0000-000050090000}"/>
    <cellStyle name="Accent4 34" xfId="2668" xr:uid="{00000000-0005-0000-0000-000051090000}"/>
    <cellStyle name="Accent4 35" xfId="2669" xr:uid="{00000000-0005-0000-0000-000052090000}"/>
    <cellStyle name="Accent4 36" xfId="2670" xr:uid="{00000000-0005-0000-0000-000053090000}"/>
    <cellStyle name="Accent4 37" xfId="2671" xr:uid="{00000000-0005-0000-0000-000054090000}"/>
    <cellStyle name="Accent4 38" xfId="2672" xr:uid="{00000000-0005-0000-0000-000055090000}"/>
    <cellStyle name="Accent4 39" xfId="2673" xr:uid="{00000000-0005-0000-0000-000056090000}"/>
    <cellStyle name="Accent4 4" xfId="150" xr:uid="{00000000-0005-0000-0000-000057090000}"/>
    <cellStyle name="Accent4 4 2" xfId="2674" xr:uid="{00000000-0005-0000-0000-000058090000}"/>
    <cellStyle name="Accent4 4 3" xfId="2675" xr:uid="{00000000-0005-0000-0000-000059090000}"/>
    <cellStyle name="Accent4 4_Acq input" xfId="6914" xr:uid="{949D611E-12BB-4639-9705-548A1F6D39F8}"/>
    <cellStyle name="Accent4 40" xfId="2676" xr:uid="{00000000-0005-0000-0000-00005B090000}"/>
    <cellStyle name="Accent4 41" xfId="2677" xr:uid="{00000000-0005-0000-0000-00005C090000}"/>
    <cellStyle name="Accent4 42" xfId="2678" xr:uid="{00000000-0005-0000-0000-00005D090000}"/>
    <cellStyle name="Accent4 43" xfId="2679" xr:uid="{00000000-0005-0000-0000-00005E090000}"/>
    <cellStyle name="Accent4 44" xfId="2680" xr:uid="{00000000-0005-0000-0000-00005F090000}"/>
    <cellStyle name="Accent4 45" xfId="2681" xr:uid="{00000000-0005-0000-0000-000060090000}"/>
    <cellStyle name="Accent4 46" xfId="2682" xr:uid="{00000000-0005-0000-0000-000061090000}"/>
    <cellStyle name="Accent4 47" xfId="2683" xr:uid="{00000000-0005-0000-0000-000062090000}"/>
    <cellStyle name="Accent4 48" xfId="2684" xr:uid="{00000000-0005-0000-0000-000063090000}"/>
    <cellStyle name="Accent4 49" xfId="2685" xr:uid="{00000000-0005-0000-0000-000064090000}"/>
    <cellStyle name="Accent4 5" xfId="151" xr:uid="{00000000-0005-0000-0000-000065090000}"/>
    <cellStyle name="Accent4 5 2" xfId="6915" xr:uid="{6159150E-739C-410A-979E-A929D986B99F}"/>
    <cellStyle name="Accent4 5_Acq input" xfId="6916" xr:uid="{FC9DBD32-57E9-43D6-A054-40ECABB9B6E6}"/>
    <cellStyle name="Accent4 50" xfId="2686" xr:uid="{00000000-0005-0000-0000-000066090000}"/>
    <cellStyle name="Accent4 51" xfId="2687" xr:uid="{00000000-0005-0000-0000-000067090000}"/>
    <cellStyle name="Accent4 52" xfId="2688" xr:uid="{00000000-0005-0000-0000-000068090000}"/>
    <cellStyle name="Accent4 53" xfId="2689" xr:uid="{00000000-0005-0000-0000-000069090000}"/>
    <cellStyle name="Accent4 54" xfId="2690" xr:uid="{00000000-0005-0000-0000-00006A090000}"/>
    <cellStyle name="Accent4 55" xfId="2691" xr:uid="{00000000-0005-0000-0000-00006B090000}"/>
    <cellStyle name="Accent4 56" xfId="2692" xr:uid="{00000000-0005-0000-0000-00006C090000}"/>
    <cellStyle name="Accent4 57" xfId="2693" xr:uid="{00000000-0005-0000-0000-00006D090000}"/>
    <cellStyle name="Accent4 58" xfId="2694" xr:uid="{00000000-0005-0000-0000-00006E090000}"/>
    <cellStyle name="Accent4 59" xfId="2695" xr:uid="{00000000-0005-0000-0000-00006F090000}"/>
    <cellStyle name="Accent4 6" xfId="2696" xr:uid="{00000000-0005-0000-0000-000070090000}"/>
    <cellStyle name="Accent4 6 2" xfId="6917" xr:uid="{E6464BC4-974B-42FD-B0DE-03F43DB0C90A}"/>
    <cellStyle name="Accent4 6_Acq input" xfId="6918" xr:uid="{06FE9D5E-ADD7-484A-8002-29D4CC6F1513}"/>
    <cellStyle name="Accent4 60" xfId="2697" xr:uid="{00000000-0005-0000-0000-000071090000}"/>
    <cellStyle name="Accent4 61" xfId="2698" xr:uid="{00000000-0005-0000-0000-000072090000}"/>
    <cellStyle name="Accent4 62" xfId="2699" xr:uid="{00000000-0005-0000-0000-000073090000}"/>
    <cellStyle name="Accent4 63" xfId="2700" xr:uid="{00000000-0005-0000-0000-000074090000}"/>
    <cellStyle name="Accent4 64" xfId="2701" xr:uid="{00000000-0005-0000-0000-000075090000}"/>
    <cellStyle name="Accent4 65" xfId="2702" xr:uid="{00000000-0005-0000-0000-000076090000}"/>
    <cellStyle name="Accent4 66" xfId="2703" xr:uid="{00000000-0005-0000-0000-000077090000}"/>
    <cellStyle name="Accent4 67" xfId="2704" xr:uid="{00000000-0005-0000-0000-000078090000}"/>
    <cellStyle name="Accent4 68" xfId="2705" xr:uid="{00000000-0005-0000-0000-000079090000}"/>
    <cellStyle name="Accent4 69" xfId="2706" xr:uid="{00000000-0005-0000-0000-00007A090000}"/>
    <cellStyle name="Accent4 7" xfId="2707" xr:uid="{00000000-0005-0000-0000-00007B090000}"/>
    <cellStyle name="Accent4 7 2" xfId="6919" xr:uid="{5CDB6B85-AB4E-44A6-898E-0518D1953BDD}"/>
    <cellStyle name="Accent4 7_Acq input" xfId="6920" xr:uid="{690DD909-E292-470A-8E35-8D1D205F737B}"/>
    <cellStyle name="Accent4 70" xfId="2708" xr:uid="{00000000-0005-0000-0000-00007C090000}"/>
    <cellStyle name="Accent4 71" xfId="2709" xr:uid="{00000000-0005-0000-0000-00007D090000}"/>
    <cellStyle name="Accent4 72" xfId="2710" xr:uid="{00000000-0005-0000-0000-00007E090000}"/>
    <cellStyle name="Accent4 73" xfId="2711" xr:uid="{00000000-0005-0000-0000-00007F090000}"/>
    <cellStyle name="Accent4 74" xfId="2712" xr:uid="{00000000-0005-0000-0000-000080090000}"/>
    <cellStyle name="Accent4 75" xfId="2713" xr:uid="{00000000-0005-0000-0000-000081090000}"/>
    <cellStyle name="Accent4 8" xfId="2714" xr:uid="{00000000-0005-0000-0000-000082090000}"/>
    <cellStyle name="Accent4 8 2" xfId="6921" xr:uid="{A1365476-AF27-49A7-88F0-017707E5F8A5}"/>
    <cellStyle name="Accent4 8_Acq input" xfId="6922" xr:uid="{8091BD08-629B-4A13-A845-F6B5633ACF8A}"/>
    <cellStyle name="Accent4 9" xfId="2715" xr:uid="{00000000-0005-0000-0000-000083090000}"/>
    <cellStyle name="Accent4 9 2" xfId="6923" xr:uid="{5C6049D5-D14F-4A52-973E-E48285465C94}"/>
    <cellStyle name="Accent4 9_Acq input" xfId="6924" xr:uid="{E9845702-FEFC-4CBC-8198-87C8FF2FD1B6}"/>
    <cellStyle name="Accent5 - 20%" xfId="152" xr:uid="{00000000-0005-0000-0000-000084090000}"/>
    <cellStyle name="Accent5 - 20% 2" xfId="2716" xr:uid="{00000000-0005-0000-0000-000085090000}"/>
    <cellStyle name="Accent5 - 20%_5130_new" xfId="2717" xr:uid="{00000000-0005-0000-0000-000086090000}"/>
    <cellStyle name="Accent5 - 40%" xfId="153" xr:uid="{00000000-0005-0000-0000-000087090000}"/>
    <cellStyle name="Accent5 - 40% 2" xfId="2718" xr:uid="{00000000-0005-0000-0000-000088090000}"/>
    <cellStyle name="Accent5 - 40%_5130_new" xfId="2719" xr:uid="{00000000-0005-0000-0000-000089090000}"/>
    <cellStyle name="Accent5 - 60%" xfId="154" xr:uid="{00000000-0005-0000-0000-00008A090000}"/>
    <cellStyle name="Accent5 10" xfId="2720" xr:uid="{00000000-0005-0000-0000-00008B090000}"/>
    <cellStyle name="Accent5 11" xfId="2721" xr:uid="{00000000-0005-0000-0000-00008C090000}"/>
    <cellStyle name="Accent5 12" xfId="2722" xr:uid="{00000000-0005-0000-0000-00008D090000}"/>
    <cellStyle name="Accent5 13" xfId="2723" xr:uid="{00000000-0005-0000-0000-00008E090000}"/>
    <cellStyle name="Accent5 14" xfId="2724" xr:uid="{00000000-0005-0000-0000-00008F090000}"/>
    <cellStyle name="Accent5 15" xfId="2725" xr:uid="{00000000-0005-0000-0000-000090090000}"/>
    <cellStyle name="Accent5 16" xfId="2726" xr:uid="{00000000-0005-0000-0000-000091090000}"/>
    <cellStyle name="Accent5 17" xfId="2727" xr:uid="{00000000-0005-0000-0000-000092090000}"/>
    <cellStyle name="Accent5 18" xfId="2728" xr:uid="{00000000-0005-0000-0000-000093090000}"/>
    <cellStyle name="Accent5 19" xfId="2729" xr:uid="{00000000-0005-0000-0000-000094090000}"/>
    <cellStyle name="Accent5 2" xfId="155" xr:uid="{00000000-0005-0000-0000-000095090000}"/>
    <cellStyle name="Accent5 2 10" xfId="2730" xr:uid="{00000000-0005-0000-0000-000096090000}"/>
    <cellStyle name="Accent5 2 11" xfId="2731" xr:uid="{00000000-0005-0000-0000-000097090000}"/>
    <cellStyle name="Accent5 2 12" xfId="2732" xr:uid="{00000000-0005-0000-0000-000098090000}"/>
    <cellStyle name="Accent5 2 13" xfId="2733" xr:uid="{00000000-0005-0000-0000-000099090000}"/>
    <cellStyle name="Accent5 2 14" xfId="2734" xr:uid="{00000000-0005-0000-0000-00009A090000}"/>
    <cellStyle name="Accent5 2 15" xfId="2735" xr:uid="{00000000-0005-0000-0000-00009B090000}"/>
    <cellStyle name="Accent5 2 16" xfId="2736" xr:uid="{00000000-0005-0000-0000-00009C090000}"/>
    <cellStyle name="Accent5 2 17" xfId="2737" xr:uid="{00000000-0005-0000-0000-00009D090000}"/>
    <cellStyle name="Accent5 2 18" xfId="2738" xr:uid="{00000000-0005-0000-0000-00009E090000}"/>
    <cellStyle name="Accent5 2 2" xfId="2739" xr:uid="{00000000-0005-0000-0000-00009F090000}"/>
    <cellStyle name="Accent5 2 2 10" xfId="2740" xr:uid="{00000000-0005-0000-0000-0000A0090000}"/>
    <cellStyle name="Accent5 2 2 11" xfId="2741" xr:uid="{00000000-0005-0000-0000-0000A1090000}"/>
    <cellStyle name="Accent5 2 2 12" xfId="2742" xr:uid="{00000000-0005-0000-0000-0000A2090000}"/>
    <cellStyle name="Accent5 2 2 13" xfId="2743" xr:uid="{00000000-0005-0000-0000-0000A3090000}"/>
    <cellStyle name="Accent5 2 2 14" xfId="2744" xr:uid="{00000000-0005-0000-0000-0000A4090000}"/>
    <cellStyle name="Accent5 2 2 15" xfId="2745" xr:uid="{00000000-0005-0000-0000-0000A5090000}"/>
    <cellStyle name="Accent5 2 2 16" xfId="2746" xr:uid="{00000000-0005-0000-0000-0000A6090000}"/>
    <cellStyle name="Accent5 2 2 17" xfId="2747" xr:uid="{00000000-0005-0000-0000-0000A7090000}"/>
    <cellStyle name="Accent5 2 2 18" xfId="2748" xr:uid="{00000000-0005-0000-0000-0000A8090000}"/>
    <cellStyle name="Accent5 2 2 2" xfId="2749" xr:uid="{00000000-0005-0000-0000-0000A9090000}"/>
    <cellStyle name="Accent5 2 2 3" xfId="2750" xr:uid="{00000000-0005-0000-0000-0000AA090000}"/>
    <cellStyle name="Accent5 2 2 4" xfId="2751" xr:uid="{00000000-0005-0000-0000-0000AB090000}"/>
    <cellStyle name="Accent5 2 2 5" xfId="2752" xr:uid="{00000000-0005-0000-0000-0000AC090000}"/>
    <cellStyle name="Accent5 2 2 6" xfId="2753" xr:uid="{00000000-0005-0000-0000-0000AD090000}"/>
    <cellStyle name="Accent5 2 2 7" xfId="2754" xr:uid="{00000000-0005-0000-0000-0000AE090000}"/>
    <cellStyle name="Accent5 2 2 8" xfId="2755" xr:uid="{00000000-0005-0000-0000-0000AF090000}"/>
    <cellStyle name="Accent5 2 2 9" xfId="2756" xr:uid="{00000000-0005-0000-0000-0000B0090000}"/>
    <cellStyle name="Accent5 2 2_Cash flow" xfId="6925" xr:uid="{557E126E-C4AD-435C-96E6-03E667793C89}"/>
    <cellStyle name="Accent5 2 3" xfId="2757" xr:uid="{00000000-0005-0000-0000-0000B2090000}"/>
    <cellStyle name="Accent5 2 3 2" xfId="2758" xr:uid="{00000000-0005-0000-0000-0000B3090000}"/>
    <cellStyle name="Accent5 2 3_Derivatives" xfId="2759" xr:uid="{00000000-0005-0000-0000-0000B4090000}"/>
    <cellStyle name="Accent5 2 4" xfId="2760" xr:uid="{00000000-0005-0000-0000-0000B5090000}"/>
    <cellStyle name="Accent5 2 4 2" xfId="2761" xr:uid="{00000000-0005-0000-0000-0000B6090000}"/>
    <cellStyle name="Accent5 2 5" xfId="2762" xr:uid="{00000000-0005-0000-0000-0000B7090000}"/>
    <cellStyle name="Accent5 2 6" xfId="2763" xr:uid="{00000000-0005-0000-0000-0000B8090000}"/>
    <cellStyle name="Accent5 2 7" xfId="2764" xr:uid="{00000000-0005-0000-0000-0000B9090000}"/>
    <cellStyle name="Accent5 2 8" xfId="2765" xr:uid="{00000000-0005-0000-0000-0000BA090000}"/>
    <cellStyle name="Accent5 2 9" xfId="2766" xr:uid="{00000000-0005-0000-0000-0000BB090000}"/>
    <cellStyle name="Accent5 2_5130_new" xfId="2767" xr:uid="{00000000-0005-0000-0000-0000BC090000}"/>
    <cellStyle name="Accent5 20" xfId="2768" xr:uid="{00000000-0005-0000-0000-0000BD090000}"/>
    <cellStyle name="Accent5 21" xfId="2769" xr:uid="{00000000-0005-0000-0000-0000BE090000}"/>
    <cellStyle name="Accent5 22" xfId="2770" xr:uid="{00000000-0005-0000-0000-0000BF090000}"/>
    <cellStyle name="Accent5 23" xfId="2771" xr:uid="{00000000-0005-0000-0000-0000C0090000}"/>
    <cellStyle name="Accent5 24" xfId="2772" xr:uid="{00000000-0005-0000-0000-0000C1090000}"/>
    <cellStyle name="Accent5 25" xfId="2773" xr:uid="{00000000-0005-0000-0000-0000C2090000}"/>
    <cellStyle name="Accent5 26" xfId="2774" xr:uid="{00000000-0005-0000-0000-0000C3090000}"/>
    <cellStyle name="Accent5 27" xfId="2775" xr:uid="{00000000-0005-0000-0000-0000C4090000}"/>
    <cellStyle name="Accent5 28" xfId="2776" xr:uid="{00000000-0005-0000-0000-0000C5090000}"/>
    <cellStyle name="Accent5 29" xfId="2777" xr:uid="{00000000-0005-0000-0000-0000C6090000}"/>
    <cellStyle name="Accent5 3" xfId="156" xr:uid="{00000000-0005-0000-0000-0000C7090000}"/>
    <cellStyle name="Accent5 3 2" xfId="2778" xr:uid="{00000000-0005-0000-0000-0000C8090000}"/>
    <cellStyle name="Accent5 3 3" xfId="2779" xr:uid="{00000000-0005-0000-0000-0000C9090000}"/>
    <cellStyle name="Accent5 3 4" xfId="2780" xr:uid="{00000000-0005-0000-0000-0000CA090000}"/>
    <cellStyle name="Accent5 3 5" xfId="2781" xr:uid="{00000000-0005-0000-0000-0000CB090000}"/>
    <cellStyle name="Accent5 3 6" xfId="2782" xr:uid="{00000000-0005-0000-0000-0000CC090000}"/>
    <cellStyle name="Accent5 3 7" xfId="2783" xr:uid="{00000000-0005-0000-0000-0000CD090000}"/>
    <cellStyle name="Accent5 3 8" xfId="2784" xr:uid="{00000000-0005-0000-0000-0000CE090000}"/>
    <cellStyle name="Accent5 3 9" xfId="2785" xr:uid="{00000000-0005-0000-0000-0000CF090000}"/>
    <cellStyle name="Accent5 3_Acq input" xfId="6926" xr:uid="{2FF74422-7006-4C5E-BCAE-DE4CF21F1A53}"/>
    <cellStyle name="Accent5 30" xfId="2786" xr:uid="{00000000-0005-0000-0000-0000D1090000}"/>
    <cellStyle name="Accent5 31" xfId="2787" xr:uid="{00000000-0005-0000-0000-0000D2090000}"/>
    <cellStyle name="Accent5 32" xfId="2788" xr:uid="{00000000-0005-0000-0000-0000D3090000}"/>
    <cellStyle name="Accent5 33" xfId="2789" xr:uid="{00000000-0005-0000-0000-0000D4090000}"/>
    <cellStyle name="Accent5 34" xfId="2790" xr:uid="{00000000-0005-0000-0000-0000D5090000}"/>
    <cellStyle name="Accent5 35" xfId="2791" xr:uid="{00000000-0005-0000-0000-0000D6090000}"/>
    <cellStyle name="Accent5 36" xfId="2792" xr:uid="{00000000-0005-0000-0000-0000D7090000}"/>
    <cellStyle name="Accent5 37" xfId="2793" xr:uid="{00000000-0005-0000-0000-0000D8090000}"/>
    <cellStyle name="Accent5 38" xfId="2794" xr:uid="{00000000-0005-0000-0000-0000D9090000}"/>
    <cellStyle name="Accent5 39" xfId="2795" xr:uid="{00000000-0005-0000-0000-0000DA090000}"/>
    <cellStyle name="Accent5 4" xfId="157" xr:uid="{00000000-0005-0000-0000-0000DB090000}"/>
    <cellStyle name="Accent5 4 2" xfId="2796" xr:uid="{00000000-0005-0000-0000-0000DC090000}"/>
    <cellStyle name="Accent5 4 3" xfId="2797" xr:uid="{00000000-0005-0000-0000-0000DD090000}"/>
    <cellStyle name="Accent5 4_Acq input" xfId="6927" xr:uid="{4CB1437E-878C-4B76-ACFD-1604213DEF04}"/>
    <cellStyle name="Accent5 40" xfId="2798" xr:uid="{00000000-0005-0000-0000-0000DF090000}"/>
    <cellStyle name="Accent5 41" xfId="2799" xr:uid="{00000000-0005-0000-0000-0000E0090000}"/>
    <cellStyle name="Accent5 42" xfId="2800" xr:uid="{00000000-0005-0000-0000-0000E1090000}"/>
    <cellStyle name="Accent5 43" xfId="2801" xr:uid="{00000000-0005-0000-0000-0000E2090000}"/>
    <cellStyle name="Accent5 44" xfId="2802" xr:uid="{00000000-0005-0000-0000-0000E3090000}"/>
    <cellStyle name="Accent5 45" xfId="2803" xr:uid="{00000000-0005-0000-0000-0000E4090000}"/>
    <cellStyle name="Accent5 46" xfId="2804" xr:uid="{00000000-0005-0000-0000-0000E5090000}"/>
    <cellStyle name="Accent5 47" xfId="2805" xr:uid="{00000000-0005-0000-0000-0000E6090000}"/>
    <cellStyle name="Accent5 48" xfId="2806" xr:uid="{00000000-0005-0000-0000-0000E7090000}"/>
    <cellStyle name="Accent5 49" xfId="2807" xr:uid="{00000000-0005-0000-0000-0000E8090000}"/>
    <cellStyle name="Accent5 5" xfId="158" xr:uid="{00000000-0005-0000-0000-0000E9090000}"/>
    <cellStyle name="Accent5 5 2" xfId="6928" xr:uid="{7BDFC891-6A8B-41A5-82DF-B352D700F5B4}"/>
    <cellStyle name="Accent5 5_Acq input" xfId="6929" xr:uid="{7458EF5F-08D5-4C64-87F1-25236DAB1114}"/>
    <cellStyle name="Accent5 50" xfId="2808" xr:uid="{00000000-0005-0000-0000-0000EA090000}"/>
    <cellStyle name="Accent5 51" xfId="2809" xr:uid="{00000000-0005-0000-0000-0000EB090000}"/>
    <cellStyle name="Accent5 52" xfId="2810" xr:uid="{00000000-0005-0000-0000-0000EC090000}"/>
    <cellStyle name="Accent5 53" xfId="2811" xr:uid="{00000000-0005-0000-0000-0000ED090000}"/>
    <cellStyle name="Accent5 54" xfId="2812" xr:uid="{00000000-0005-0000-0000-0000EE090000}"/>
    <cellStyle name="Accent5 55" xfId="2813" xr:uid="{00000000-0005-0000-0000-0000EF090000}"/>
    <cellStyle name="Accent5 56" xfId="2814" xr:uid="{00000000-0005-0000-0000-0000F0090000}"/>
    <cellStyle name="Accent5 57" xfId="2815" xr:uid="{00000000-0005-0000-0000-0000F1090000}"/>
    <cellStyle name="Accent5 58" xfId="2816" xr:uid="{00000000-0005-0000-0000-0000F2090000}"/>
    <cellStyle name="Accent5 59" xfId="2817" xr:uid="{00000000-0005-0000-0000-0000F3090000}"/>
    <cellStyle name="Accent5 6" xfId="2818" xr:uid="{00000000-0005-0000-0000-0000F4090000}"/>
    <cellStyle name="Accent5 6 2" xfId="6930" xr:uid="{1F65C09E-A98F-4557-B936-5233536EE43D}"/>
    <cellStyle name="Accent5 6_Acq input" xfId="6931" xr:uid="{4C218200-BAF6-45D9-A5D5-0F310E4A6AA2}"/>
    <cellStyle name="Accent5 60" xfId="2819" xr:uid="{00000000-0005-0000-0000-0000F5090000}"/>
    <cellStyle name="Accent5 61" xfId="2820" xr:uid="{00000000-0005-0000-0000-0000F6090000}"/>
    <cellStyle name="Accent5 62" xfId="2821" xr:uid="{00000000-0005-0000-0000-0000F7090000}"/>
    <cellStyle name="Accent5 63" xfId="2822" xr:uid="{00000000-0005-0000-0000-0000F8090000}"/>
    <cellStyle name="Accent5 64" xfId="2823" xr:uid="{00000000-0005-0000-0000-0000F9090000}"/>
    <cellStyle name="Accent5 65" xfId="2824" xr:uid="{00000000-0005-0000-0000-0000FA090000}"/>
    <cellStyle name="Accent5 66" xfId="2825" xr:uid="{00000000-0005-0000-0000-0000FB090000}"/>
    <cellStyle name="Accent5 67" xfId="2826" xr:uid="{00000000-0005-0000-0000-0000FC090000}"/>
    <cellStyle name="Accent5 68" xfId="2827" xr:uid="{00000000-0005-0000-0000-0000FD090000}"/>
    <cellStyle name="Accent5 69" xfId="2828" xr:uid="{00000000-0005-0000-0000-0000FE090000}"/>
    <cellStyle name="Accent5 7" xfId="2829" xr:uid="{00000000-0005-0000-0000-0000FF090000}"/>
    <cellStyle name="Accent5 7 2" xfId="6932" xr:uid="{01BEA4EB-0D73-4104-9905-68FB491A1F8F}"/>
    <cellStyle name="Accent5 7_Acq input" xfId="6933" xr:uid="{B4433548-EB9D-49F2-A940-BE78C593A8F2}"/>
    <cellStyle name="Accent5 70" xfId="2830" xr:uid="{00000000-0005-0000-0000-0000000A0000}"/>
    <cellStyle name="Accent5 71" xfId="2831" xr:uid="{00000000-0005-0000-0000-0000010A0000}"/>
    <cellStyle name="Accent5 72" xfId="2832" xr:uid="{00000000-0005-0000-0000-0000020A0000}"/>
    <cellStyle name="Accent5 73" xfId="2833" xr:uid="{00000000-0005-0000-0000-0000030A0000}"/>
    <cellStyle name="Accent5 74" xfId="2834" xr:uid="{00000000-0005-0000-0000-0000040A0000}"/>
    <cellStyle name="Accent5 75" xfId="2835" xr:uid="{00000000-0005-0000-0000-0000050A0000}"/>
    <cellStyle name="Accent5 8" xfId="2836" xr:uid="{00000000-0005-0000-0000-0000060A0000}"/>
    <cellStyle name="Accent5 8 2" xfId="6934" xr:uid="{6E030D8B-768B-4AA6-B4C0-1AFC2C0A69BA}"/>
    <cellStyle name="Accent5 8_Acq input" xfId="6935" xr:uid="{77F8092F-F93D-428F-90DC-167C7626FE02}"/>
    <cellStyle name="Accent5 9" xfId="2837" xr:uid="{00000000-0005-0000-0000-0000070A0000}"/>
    <cellStyle name="Accent5 9 2" xfId="6936" xr:uid="{3F27338C-6163-4421-AE94-5BA7FF4DFAA5}"/>
    <cellStyle name="Accent5 9_Acq input" xfId="6937" xr:uid="{8C758920-E719-451E-9ACC-EF2BC86C44B5}"/>
    <cellStyle name="Accent6 - 20%" xfId="159" xr:uid="{00000000-0005-0000-0000-0000080A0000}"/>
    <cellStyle name="Accent6 - 20% 2" xfId="2838" xr:uid="{00000000-0005-0000-0000-0000090A0000}"/>
    <cellStyle name="Accent6 - 20%_5130_new" xfId="2839" xr:uid="{00000000-0005-0000-0000-00000A0A0000}"/>
    <cellStyle name="Accent6 - 40%" xfId="160" xr:uid="{00000000-0005-0000-0000-00000B0A0000}"/>
    <cellStyle name="Accent6 - 40% 2" xfId="2840" xr:uid="{00000000-0005-0000-0000-00000C0A0000}"/>
    <cellStyle name="Accent6 - 40%_5130_new" xfId="2841" xr:uid="{00000000-0005-0000-0000-00000D0A0000}"/>
    <cellStyle name="Accent6 - 60%" xfId="161" xr:uid="{00000000-0005-0000-0000-00000E0A0000}"/>
    <cellStyle name="Accent6 10" xfId="2842" xr:uid="{00000000-0005-0000-0000-00000F0A0000}"/>
    <cellStyle name="Accent6 11" xfId="2843" xr:uid="{00000000-0005-0000-0000-0000100A0000}"/>
    <cellStyle name="Accent6 12" xfId="2844" xr:uid="{00000000-0005-0000-0000-0000110A0000}"/>
    <cellStyle name="Accent6 13" xfId="2845" xr:uid="{00000000-0005-0000-0000-0000120A0000}"/>
    <cellStyle name="Accent6 14" xfId="2846" xr:uid="{00000000-0005-0000-0000-0000130A0000}"/>
    <cellStyle name="Accent6 15" xfId="2847" xr:uid="{00000000-0005-0000-0000-0000140A0000}"/>
    <cellStyle name="Accent6 16" xfId="2848" xr:uid="{00000000-0005-0000-0000-0000150A0000}"/>
    <cellStyle name="Accent6 17" xfId="2849" xr:uid="{00000000-0005-0000-0000-0000160A0000}"/>
    <cellStyle name="Accent6 18" xfId="2850" xr:uid="{00000000-0005-0000-0000-0000170A0000}"/>
    <cellStyle name="Accent6 19" xfId="2851" xr:uid="{00000000-0005-0000-0000-0000180A0000}"/>
    <cellStyle name="Accent6 2" xfId="162" xr:uid="{00000000-0005-0000-0000-0000190A0000}"/>
    <cellStyle name="Accent6 2 10" xfId="2852" xr:uid="{00000000-0005-0000-0000-00001A0A0000}"/>
    <cellStyle name="Accent6 2 11" xfId="2853" xr:uid="{00000000-0005-0000-0000-00001B0A0000}"/>
    <cellStyle name="Accent6 2 12" xfId="2854" xr:uid="{00000000-0005-0000-0000-00001C0A0000}"/>
    <cellStyle name="Accent6 2 13" xfId="2855" xr:uid="{00000000-0005-0000-0000-00001D0A0000}"/>
    <cellStyle name="Accent6 2 14" xfId="2856" xr:uid="{00000000-0005-0000-0000-00001E0A0000}"/>
    <cellStyle name="Accent6 2 15" xfId="2857" xr:uid="{00000000-0005-0000-0000-00001F0A0000}"/>
    <cellStyle name="Accent6 2 16" xfId="2858" xr:uid="{00000000-0005-0000-0000-0000200A0000}"/>
    <cellStyle name="Accent6 2 17" xfId="2859" xr:uid="{00000000-0005-0000-0000-0000210A0000}"/>
    <cellStyle name="Accent6 2 18" xfId="2860" xr:uid="{00000000-0005-0000-0000-0000220A0000}"/>
    <cellStyle name="Accent6 2 2" xfId="2861" xr:uid="{00000000-0005-0000-0000-0000230A0000}"/>
    <cellStyle name="Accent6 2 2 10" xfId="2862" xr:uid="{00000000-0005-0000-0000-0000240A0000}"/>
    <cellStyle name="Accent6 2 2 11" xfId="2863" xr:uid="{00000000-0005-0000-0000-0000250A0000}"/>
    <cellStyle name="Accent6 2 2 12" xfId="2864" xr:uid="{00000000-0005-0000-0000-0000260A0000}"/>
    <cellStyle name="Accent6 2 2 13" xfId="2865" xr:uid="{00000000-0005-0000-0000-0000270A0000}"/>
    <cellStyle name="Accent6 2 2 14" xfId="2866" xr:uid="{00000000-0005-0000-0000-0000280A0000}"/>
    <cellStyle name="Accent6 2 2 15" xfId="2867" xr:uid="{00000000-0005-0000-0000-0000290A0000}"/>
    <cellStyle name="Accent6 2 2 16" xfId="2868" xr:uid="{00000000-0005-0000-0000-00002A0A0000}"/>
    <cellStyle name="Accent6 2 2 17" xfId="2869" xr:uid="{00000000-0005-0000-0000-00002B0A0000}"/>
    <cellStyle name="Accent6 2 2 18" xfId="2870" xr:uid="{00000000-0005-0000-0000-00002C0A0000}"/>
    <cellStyle name="Accent6 2 2 2" xfId="2871" xr:uid="{00000000-0005-0000-0000-00002D0A0000}"/>
    <cellStyle name="Accent6 2 2 2 2" xfId="2872" xr:uid="{00000000-0005-0000-0000-00002E0A0000}"/>
    <cellStyle name="Accent6 2 2 3" xfId="2873" xr:uid="{00000000-0005-0000-0000-00002F0A0000}"/>
    <cellStyle name="Accent6 2 2 4" xfId="2874" xr:uid="{00000000-0005-0000-0000-0000300A0000}"/>
    <cellStyle name="Accent6 2 2 5" xfId="2875" xr:uid="{00000000-0005-0000-0000-0000310A0000}"/>
    <cellStyle name="Accent6 2 2 6" xfId="2876" xr:uid="{00000000-0005-0000-0000-0000320A0000}"/>
    <cellStyle name="Accent6 2 2 7" xfId="2877" xr:uid="{00000000-0005-0000-0000-0000330A0000}"/>
    <cellStyle name="Accent6 2 2 8" xfId="2878" xr:uid="{00000000-0005-0000-0000-0000340A0000}"/>
    <cellStyle name="Accent6 2 2 9" xfId="2879" xr:uid="{00000000-0005-0000-0000-0000350A0000}"/>
    <cellStyle name="Accent6 2 2_Cash flow" xfId="6938" xr:uid="{93185992-063D-4AB4-9CBD-2BD6536E8759}"/>
    <cellStyle name="Accent6 2 3" xfId="2880" xr:uid="{00000000-0005-0000-0000-0000370A0000}"/>
    <cellStyle name="Accent6 2 3 2" xfId="2881" xr:uid="{00000000-0005-0000-0000-0000380A0000}"/>
    <cellStyle name="Accent6 2 3_Derivatives" xfId="2882" xr:uid="{00000000-0005-0000-0000-0000390A0000}"/>
    <cellStyle name="Accent6 2 4" xfId="2883" xr:uid="{00000000-0005-0000-0000-00003A0A0000}"/>
    <cellStyle name="Accent6 2 4 2" xfId="2884" xr:uid="{00000000-0005-0000-0000-00003B0A0000}"/>
    <cellStyle name="Accent6 2 5" xfId="2885" xr:uid="{00000000-0005-0000-0000-00003C0A0000}"/>
    <cellStyle name="Accent6 2 6" xfId="2886" xr:uid="{00000000-0005-0000-0000-00003D0A0000}"/>
    <cellStyle name="Accent6 2 7" xfId="2887" xr:uid="{00000000-0005-0000-0000-00003E0A0000}"/>
    <cellStyle name="Accent6 2 8" xfId="2888" xr:uid="{00000000-0005-0000-0000-00003F0A0000}"/>
    <cellStyle name="Accent6 2 8 2" xfId="2889" xr:uid="{00000000-0005-0000-0000-0000400A0000}"/>
    <cellStyle name="Accent6 2 9" xfId="2890" xr:uid="{00000000-0005-0000-0000-0000410A0000}"/>
    <cellStyle name="Accent6 2_5130_new" xfId="2891" xr:uid="{00000000-0005-0000-0000-0000420A0000}"/>
    <cellStyle name="Accent6 20" xfId="2892" xr:uid="{00000000-0005-0000-0000-0000430A0000}"/>
    <cellStyle name="Accent6 21" xfId="2893" xr:uid="{00000000-0005-0000-0000-0000440A0000}"/>
    <cellStyle name="Accent6 22" xfId="2894" xr:uid="{00000000-0005-0000-0000-0000450A0000}"/>
    <cellStyle name="Accent6 23" xfId="2895" xr:uid="{00000000-0005-0000-0000-0000460A0000}"/>
    <cellStyle name="Accent6 24" xfId="2896" xr:uid="{00000000-0005-0000-0000-0000470A0000}"/>
    <cellStyle name="Accent6 25" xfId="2897" xr:uid="{00000000-0005-0000-0000-0000480A0000}"/>
    <cellStyle name="Accent6 26" xfId="2898" xr:uid="{00000000-0005-0000-0000-0000490A0000}"/>
    <cellStyle name="Accent6 27" xfId="2899" xr:uid="{00000000-0005-0000-0000-00004A0A0000}"/>
    <cellStyle name="Accent6 28" xfId="2900" xr:uid="{00000000-0005-0000-0000-00004B0A0000}"/>
    <cellStyle name="Accent6 29" xfId="2901" xr:uid="{00000000-0005-0000-0000-00004C0A0000}"/>
    <cellStyle name="Accent6 3" xfId="163" xr:uid="{00000000-0005-0000-0000-00004D0A0000}"/>
    <cellStyle name="Accent6 3 2" xfId="2902" xr:uid="{00000000-0005-0000-0000-00004E0A0000}"/>
    <cellStyle name="Accent6 3 2 2" xfId="2903" xr:uid="{00000000-0005-0000-0000-00004F0A0000}"/>
    <cellStyle name="Accent6 3 2_Cash flow" xfId="6939" xr:uid="{7A6AE274-AE3C-44E9-AF87-EB1F9E4682AB}"/>
    <cellStyle name="Accent6 3 3" xfId="2904" xr:uid="{00000000-0005-0000-0000-0000500A0000}"/>
    <cellStyle name="Accent6 3 3 2" xfId="2905" xr:uid="{00000000-0005-0000-0000-0000510A0000}"/>
    <cellStyle name="Accent6 3 3_Derivatives" xfId="2906" xr:uid="{00000000-0005-0000-0000-0000520A0000}"/>
    <cellStyle name="Accent6 3 4" xfId="2907" xr:uid="{00000000-0005-0000-0000-0000530A0000}"/>
    <cellStyle name="Accent6 3 5" xfId="2908" xr:uid="{00000000-0005-0000-0000-0000540A0000}"/>
    <cellStyle name="Accent6 3 6" xfId="2909" xr:uid="{00000000-0005-0000-0000-0000550A0000}"/>
    <cellStyle name="Accent6 3 7" xfId="2910" xr:uid="{00000000-0005-0000-0000-0000560A0000}"/>
    <cellStyle name="Accent6 3 8" xfId="2911" xr:uid="{00000000-0005-0000-0000-0000570A0000}"/>
    <cellStyle name="Accent6 3 9" xfId="2912" xr:uid="{00000000-0005-0000-0000-0000580A0000}"/>
    <cellStyle name="Accent6 3_Acq input" xfId="6940" xr:uid="{2C995E35-8E23-4FD2-8A54-88F6598E8C3B}"/>
    <cellStyle name="Accent6 30" xfId="2913" xr:uid="{00000000-0005-0000-0000-00005A0A0000}"/>
    <cellStyle name="Accent6 31" xfId="2914" xr:uid="{00000000-0005-0000-0000-00005B0A0000}"/>
    <cellStyle name="Accent6 32" xfId="2915" xr:uid="{00000000-0005-0000-0000-00005C0A0000}"/>
    <cellStyle name="Accent6 33" xfId="2916" xr:uid="{00000000-0005-0000-0000-00005D0A0000}"/>
    <cellStyle name="Accent6 34" xfId="2917" xr:uid="{00000000-0005-0000-0000-00005E0A0000}"/>
    <cellStyle name="Accent6 35" xfId="2918" xr:uid="{00000000-0005-0000-0000-00005F0A0000}"/>
    <cellStyle name="Accent6 36" xfId="2919" xr:uid="{00000000-0005-0000-0000-0000600A0000}"/>
    <cellStyle name="Accent6 37" xfId="2920" xr:uid="{00000000-0005-0000-0000-0000610A0000}"/>
    <cellStyle name="Accent6 38" xfId="2921" xr:uid="{00000000-0005-0000-0000-0000620A0000}"/>
    <cellStyle name="Accent6 39" xfId="2922" xr:uid="{00000000-0005-0000-0000-0000630A0000}"/>
    <cellStyle name="Accent6 4" xfId="164" xr:uid="{00000000-0005-0000-0000-0000640A0000}"/>
    <cellStyle name="Accent6 4 2" xfId="2923" xr:uid="{00000000-0005-0000-0000-0000650A0000}"/>
    <cellStyle name="Accent6 4 3" xfId="2924" xr:uid="{00000000-0005-0000-0000-0000660A0000}"/>
    <cellStyle name="Accent6 4_Acq input" xfId="6941" xr:uid="{B0FCC270-D290-4064-8CB4-5DA0DEDA8979}"/>
    <cellStyle name="Accent6 40" xfId="2925" xr:uid="{00000000-0005-0000-0000-0000680A0000}"/>
    <cellStyle name="Accent6 41" xfId="2926" xr:uid="{00000000-0005-0000-0000-0000690A0000}"/>
    <cellStyle name="Accent6 42" xfId="2927" xr:uid="{00000000-0005-0000-0000-00006A0A0000}"/>
    <cellStyle name="Accent6 43" xfId="2928" xr:uid="{00000000-0005-0000-0000-00006B0A0000}"/>
    <cellStyle name="Accent6 44" xfId="2929" xr:uid="{00000000-0005-0000-0000-00006C0A0000}"/>
    <cellStyle name="Accent6 45" xfId="2930" xr:uid="{00000000-0005-0000-0000-00006D0A0000}"/>
    <cellStyle name="Accent6 46" xfId="2931" xr:uid="{00000000-0005-0000-0000-00006E0A0000}"/>
    <cellStyle name="Accent6 47" xfId="2932" xr:uid="{00000000-0005-0000-0000-00006F0A0000}"/>
    <cellStyle name="Accent6 48" xfId="2933" xr:uid="{00000000-0005-0000-0000-0000700A0000}"/>
    <cellStyle name="Accent6 49" xfId="2934" xr:uid="{00000000-0005-0000-0000-0000710A0000}"/>
    <cellStyle name="Accent6 5" xfId="165" xr:uid="{00000000-0005-0000-0000-0000720A0000}"/>
    <cellStyle name="Accent6 5 2" xfId="6942" xr:uid="{DB44CB8B-7C86-474A-893C-15320AC742F5}"/>
    <cellStyle name="Accent6 5_Acq input" xfId="6943" xr:uid="{F4C945A7-FC7C-4D20-91E6-B271BADB5DD2}"/>
    <cellStyle name="Accent6 50" xfId="2935" xr:uid="{00000000-0005-0000-0000-0000730A0000}"/>
    <cellStyle name="Accent6 51" xfId="2936" xr:uid="{00000000-0005-0000-0000-0000740A0000}"/>
    <cellStyle name="Accent6 52" xfId="2937" xr:uid="{00000000-0005-0000-0000-0000750A0000}"/>
    <cellStyle name="Accent6 53" xfId="2938" xr:uid="{00000000-0005-0000-0000-0000760A0000}"/>
    <cellStyle name="Accent6 54" xfId="2939" xr:uid="{00000000-0005-0000-0000-0000770A0000}"/>
    <cellStyle name="Accent6 55" xfId="2940" xr:uid="{00000000-0005-0000-0000-0000780A0000}"/>
    <cellStyle name="Accent6 56" xfId="2941" xr:uid="{00000000-0005-0000-0000-0000790A0000}"/>
    <cellStyle name="Accent6 57" xfId="2942" xr:uid="{00000000-0005-0000-0000-00007A0A0000}"/>
    <cellStyle name="Accent6 58" xfId="2943" xr:uid="{00000000-0005-0000-0000-00007B0A0000}"/>
    <cellStyle name="Accent6 59" xfId="2944" xr:uid="{00000000-0005-0000-0000-00007C0A0000}"/>
    <cellStyle name="Accent6 6" xfId="2945" xr:uid="{00000000-0005-0000-0000-00007D0A0000}"/>
    <cellStyle name="Accent6 6 2" xfId="6944" xr:uid="{30DE0206-C7FB-4B33-BF21-68C54CADDBA0}"/>
    <cellStyle name="Accent6 6_Acq input" xfId="6945" xr:uid="{071DB277-7E90-4399-ABBE-603799F218C5}"/>
    <cellStyle name="Accent6 60" xfId="2946" xr:uid="{00000000-0005-0000-0000-00007E0A0000}"/>
    <cellStyle name="Accent6 61" xfId="2947" xr:uid="{00000000-0005-0000-0000-00007F0A0000}"/>
    <cellStyle name="Accent6 62" xfId="2948" xr:uid="{00000000-0005-0000-0000-0000800A0000}"/>
    <cellStyle name="Accent6 63" xfId="2949" xr:uid="{00000000-0005-0000-0000-0000810A0000}"/>
    <cellStyle name="Accent6 64" xfId="2950" xr:uid="{00000000-0005-0000-0000-0000820A0000}"/>
    <cellStyle name="Accent6 65" xfId="2951" xr:uid="{00000000-0005-0000-0000-0000830A0000}"/>
    <cellStyle name="Accent6 66" xfId="2952" xr:uid="{00000000-0005-0000-0000-0000840A0000}"/>
    <cellStyle name="Accent6 67" xfId="2953" xr:uid="{00000000-0005-0000-0000-0000850A0000}"/>
    <cellStyle name="Accent6 68" xfId="2954" xr:uid="{00000000-0005-0000-0000-0000860A0000}"/>
    <cellStyle name="Accent6 69" xfId="2955" xr:uid="{00000000-0005-0000-0000-0000870A0000}"/>
    <cellStyle name="Accent6 7" xfId="2956" xr:uid="{00000000-0005-0000-0000-0000880A0000}"/>
    <cellStyle name="Accent6 7 2" xfId="6946" xr:uid="{17BE91D6-D4B6-4D15-8AAA-7C19391BC115}"/>
    <cellStyle name="Accent6 7_Acq input" xfId="6947" xr:uid="{14FC181A-35DC-4153-A4C0-246E9553009C}"/>
    <cellStyle name="Accent6 70" xfId="2957" xr:uid="{00000000-0005-0000-0000-0000890A0000}"/>
    <cellStyle name="Accent6 71" xfId="2958" xr:uid="{00000000-0005-0000-0000-00008A0A0000}"/>
    <cellStyle name="Accent6 72" xfId="2959" xr:uid="{00000000-0005-0000-0000-00008B0A0000}"/>
    <cellStyle name="Accent6 73" xfId="2960" xr:uid="{00000000-0005-0000-0000-00008C0A0000}"/>
    <cellStyle name="Accent6 74" xfId="2961" xr:uid="{00000000-0005-0000-0000-00008D0A0000}"/>
    <cellStyle name="Accent6 75" xfId="2962" xr:uid="{00000000-0005-0000-0000-00008E0A0000}"/>
    <cellStyle name="Accent6 8" xfId="2963" xr:uid="{00000000-0005-0000-0000-00008F0A0000}"/>
    <cellStyle name="Accent6 8 2" xfId="6948" xr:uid="{6A904582-38A5-45DA-8BA1-4E48295AA160}"/>
    <cellStyle name="Accent6 8_Acq input" xfId="6949" xr:uid="{BA946454-29D7-4005-88C6-4D78DB60E8BC}"/>
    <cellStyle name="Accent6 9" xfId="2964" xr:uid="{00000000-0005-0000-0000-0000900A0000}"/>
    <cellStyle name="Accent6 9 2" xfId="6950" xr:uid="{48FE0181-C92A-4FFC-AEDB-DC7F6B58D4C4}"/>
    <cellStyle name="Accent6 9_Acq input" xfId="6951" xr:uid="{91599D31-0428-4936-AFA4-D10F5AAAC7ED}"/>
    <cellStyle name="Akzent1" xfId="6952" xr:uid="{60EEA1A3-46E0-49B8-B2EB-784834C3A422}"/>
    <cellStyle name="Akzent1 2" xfId="6953" xr:uid="{40A9C0C7-BEB4-4060-BC39-91D5EC15F48A}"/>
    <cellStyle name="Akzent2" xfId="6954" xr:uid="{4917FF65-1E89-4BE3-A5C8-4845408E36B7}"/>
    <cellStyle name="Akzent2 2" xfId="6955" xr:uid="{0E2CEB9E-1B1C-4BC1-B4C5-AA8823EBBCA3}"/>
    <cellStyle name="Akzent3" xfId="6956" xr:uid="{F3DF9E97-CB30-4F3F-9EB2-B78CC34AE9B2}"/>
    <cellStyle name="Akzent3 2" xfId="6957" xr:uid="{B119E2E2-3B0F-440A-B783-343B00492F90}"/>
    <cellStyle name="Akzent4" xfId="6958" xr:uid="{CFB814F2-4E83-48B2-AC94-520EA9B53623}"/>
    <cellStyle name="Akzent4 2" xfId="6959" xr:uid="{C32481A5-E647-4E7A-AD75-51085FCE3DAF}"/>
    <cellStyle name="Akzent5" xfId="6960" xr:uid="{58B4165A-D992-4FA6-90F1-53E78C8E2CCF}"/>
    <cellStyle name="Akzent5 2" xfId="6961" xr:uid="{87111FC1-85BA-4BF0-9DCF-238B8973EF67}"/>
    <cellStyle name="Akzent6" xfId="6962" xr:uid="{03EEDF7D-4A61-4E70-914C-7BAC61F2D23E}"/>
    <cellStyle name="Akzent6 2" xfId="6963" xr:uid="{58A0386F-D468-4DDF-AF3D-373BA5A9A6A2}"/>
    <cellStyle name="Ausgabe" xfId="6964" xr:uid="{D386E6F1-093B-4A98-A156-3C3C2119E6DA}"/>
    <cellStyle name="Ausgabe 2" xfId="6965" xr:uid="{6013BE4B-5155-4D26-8DE3-963FB99D75C0}"/>
    <cellStyle name="Avertissement" xfId="166" xr:uid="{00000000-0005-0000-0000-0000910A0000}"/>
    <cellStyle name="Bad 10" xfId="2965" xr:uid="{00000000-0005-0000-0000-0000920A0000}"/>
    <cellStyle name="Bad 11" xfId="2966" xr:uid="{00000000-0005-0000-0000-0000930A0000}"/>
    <cellStyle name="Bad 12" xfId="2967" xr:uid="{00000000-0005-0000-0000-0000940A0000}"/>
    <cellStyle name="Bad 13" xfId="2968" xr:uid="{00000000-0005-0000-0000-0000950A0000}"/>
    <cellStyle name="Bad 14" xfId="6966" xr:uid="{AD95D725-262B-49A8-AB2B-8A3F4E461630}"/>
    <cellStyle name="Bad 2" xfId="167" xr:uid="{00000000-0005-0000-0000-0000960A0000}"/>
    <cellStyle name="Bad 2 10" xfId="2969" xr:uid="{00000000-0005-0000-0000-0000970A0000}"/>
    <cellStyle name="Bad 2 11" xfId="2970" xr:uid="{00000000-0005-0000-0000-0000980A0000}"/>
    <cellStyle name="Bad 2 12" xfId="2971" xr:uid="{00000000-0005-0000-0000-0000990A0000}"/>
    <cellStyle name="Bad 2 13" xfId="2972" xr:uid="{00000000-0005-0000-0000-00009A0A0000}"/>
    <cellStyle name="Bad 2 14" xfId="2973" xr:uid="{00000000-0005-0000-0000-00009B0A0000}"/>
    <cellStyle name="Bad 2 15" xfId="2974" xr:uid="{00000000-0005-0000-0000-00009C0A0000}"/>
    <cellStyle name="Bad 2 16" xfId="2975" xr:uid="{00000000-0005-0000-0000-00009D0A0000}"/>
    <cellStyle name="Bad 2 17" xfId="2976" xr:uid="{00000000-0005-0000-0000-00009E0A0000}"/>
    <cellStyle name="Bad 2 18" xfId="2977" xr:uid="{00000000-0005-0000-0000-00009F0A0000}"/>
    <cellStyle name="Bad 2 2" xfId="2978" xr:uid="{00000000-0005-0000-0000-0000A00A0000}"/>
    <cellStyle name="Bad 2 2 10" xfId="2979" xr:uid="{00000000-0005-0000-0000-0000A10A0000}"/>
    <cellStyle name="Bad 2 2 11" xfId="2980" xr:uid="{00000000-0005-0000-0000-0000A20A0000}"/>
    <cellStyle name="Bad 2 2 12" xfId="2981" xr:uid="{00000000-0005-0000-0000-0000A30A0000}"/>
    <cellStyle name="Bad 2 2 13" xfId="2982" xr:uid="{00000000-0005-0000-0000-0000A40A0000}"/>
    <cellStyle name="Bad 2 2 14" xfId="2983" xr:uid="{00000000-0005-0000-0000-0000A50A0000}"/>
    <cellStyle name="Bad 2 2 15" xfId="2984" xr:uid="{00000000-0005-0000-0000-0000A60A0000}"/>
    <cellStyle name="Bad 2 2 16" xfId="2985" xr:uid="{00000000-0005-0000-0000-0000A70A0000}"/>
    <cellStyle name="Bad 2 2 17" xfId="2986" xr:uid="{00000000-0005-0000-0000-0000A80A0000}"/>
    <cellStyle name="Bad 2 2 18" xfId="2987" xr:uid="{00000000-0005-0000-0000-0000A90A0000}"/>
    <cellStyle name="Bad 2 2 2" xfId="2988" xr:uid="{00000000-0005-0000-0000-0000AA0A0000}"/>
    <cellStyle name="Bad 2 2 3" xfId="2989" xr:uid="{00000000-0005-0000-0000-0000AB0A0000}"/>
    <cellStyle name="Bad 2 2 4" xfId="2990" xr:uid="{00000000-0005-0000-0000-0000AC0A0000}"/>
    <cellStyle name="Bad 2 2 5" xfId="2991" xr:uid="{00000000-0005-0000-0000-0000AD0A0000}"/>
    <cellStyle name="Bad 2 2 6" xfId="2992" xr:uid="{00000000-0005-0000-0000-0000AE0A0000}"/>
    <cellStyle name="Bad 2 2 7" xfId="2993" xr:uid="{00000000-0005-0000-0000-0000AF0A0000}"/>
    <cellStyle name="Bad 2 2 8" xfId="2994" xr:uid="{00000000-0005-0000-0000-0000B00A0000}"/>
    <cellStyle name="Bad 2 2 9" xfId="2995" xr:uid="{00000000-0005-0000-0000-0000B10A0000}"/>
    <cellStyle name="Bad 2 2_Cash flow" xfId="6967" xr:uid="{728F3C0D-4ED7-41FE-9276-3C3EDA83E123}"/>
    <cellStyle name="Bad 2 3" xfId="2996" xr:uid="{00000000-0005-0000-0000-0000B30A0000}"/>
    <cellStyle name="Bad 2 3 2" xfId="2997" xr:uid="{00000000-0005-0000-0000-0000B40A0000}"/>
    <cellStyle name="Bad 2 3_Derivatives" xfId="2998" xr:uid="{00000000-0005-0000-0000-0000B50A0000}"/>
    <cellStyle name="Bad 2 4" xfId="2999" xr:uid="{00000000-0005-0000-0000-0000B60A0000}"/>
    <cellStyle name="Bad 2 4 2" xfId="3000" xr:uid="{00000000-0005-0000-0000-0000B70A0000}"/>
    <cellStyle name="Bad 2 5" xfId="3001" xr:uid="{00000000-0005-0000-0000-0000B80A0000}"/>
    <cellStyle name="Bad 2 6" xfId="3002" xr:uid="{00000000-0005-0000-0000-0000B90A0000}"/>
    <cellStyle name="Bad 2 7" xfId="3003" xr:uid="{00000000-0005-0000-0000-0000BA0A0000}"/>
    <cellStyle name="Bad 2 8" xfId="3004" xr:uid="{00000000-0005-0000-0000-0000BB0A0000}"/>
    <cellStyle name="Bad 2 9" xfId="3005" xr:uid="{00000000-0005-0000-0000-0000BC0A0000}"/>
    <cellStyle name="Bad 2_5130_new" xfId="3006" xr:uid="{00000000-0005-0000-0000-0000BD0A0000}"/>
    <cellStyle name="Bad 3" xfId="168" xr:uid="{00000000-0005-0000-0000-0000BE0A0000}"/>
    <cellStyle name="Bad 3 2" xfId="3007" xr:uid="{00000000-0005-0000-0000-0000BF0A0000}"/>
    <cellStyle name="Bad 3 3" xfId="3008" xr:uid="{00000000-0005-0000-0000-0000C00A0000}"/>
    <cellStyle name="Bad 3 4" xfId="3009" xr:uid="{00000000-0005-0000-0000-0000C10A0000}"/>
    <cellStyle name="Bad 3 5" xfId="3010" xr:uid="{00000000-0005-0000-0000-0000C20A0000}"/>
    <cellStyle name="Bad 3 6" xfId="3011" xr:uid="{00000000-0005-0000-0000-0000C30A0000}"/>
    <cellStyle name="Bad 3 7" xfId="3012" xr:uid="{00000000-0005-0000-0000-0000C40A0000}"/>
    <cellStyle name="Bad 3 8" xfId="3013" xr:uid="{00000000-0005-0000-0000-0000C50A0000}"/>
    <cellStyle name="Bad 3 9" xfId="3014" xr:uid="{00000000-0005-0000-0000-0000C60A0000}"/>
    <cellStyle name="Bad 3_Australia Results" xfId="6968" xr:uid="{55792D3A-9D46-4A47-AE75-5C470F30A279}"/>
    <cellStyle name="Bad 4" xfId="169" xr:uid="{00000000-0005-0000-0000-0000C80A0000}"/>
    <cellStyle name="Bad 4 2" xfId="3015" xr:uid="{00000000-0005-0000-0000-0000C90A0000}"/>
    <cellStyle name="Bad 4_EQU" xfId="3016" xr:uid="{00000000-0005-0000-0000-0000CA0A0000}"/>
    <cellStyle name="Bad 5" xfId="170" xr:uid="{00000000-0005-0000-0000-0000CB0A0000}"/>
    <cellStyle name="Bad 6" xfId="3017" xr:uid="{00000000-0005-0000-0000-0000CC0A0000}"/>
    <cellStyle name="Bad 7" xfId="3018" xr:uid="{00000000-0005-0000-0000-0000CD0A0000}"/>
    <cellStyle name="Bad 8" xfId="3019" xr:uid="{00000000-0005-0000-0000-0000CE0A0000}"/>
    <cellStyle name="Bad 9" xfId="3020" xr:uid="{00000000-0005-0000-0000-0000CF0A0000}"/>
    <cellStyle name="beide" xfId="6969" xr:uid="{6BD55976-4246-439F-86F4-585C455EAC76}"/>
    <cellStyle name="beide 2" xfId="6970" xr:uid="{07AA3EC1-BD3D-49D9-9192-F19727E90B63}"/>
    <cellStyle name="beide_AcqBal LC" xfId="6971" xr:uid="{7C766DA2-9AE1-443B-A9A1-42FEFE2D6BF5}"/>
    <cellStyle name="Berechnung" xfId="6972" xr:uid="{8030DF87-BF8C-4E3B-B569-55E3BA4F6386}"/>
    <cellStyle name="Berechnung 2" xfId="6973" xr:uid="{29687BE3-DAEB-4FCC-B84C-36936DDA48E9}"/>
    <cellStyle name="Blankettnamn" xfId="171" xr:uid="{00000000-0005-0000-0000-0000D00A0000}"/>
    <cellStyle name="Blankettnamn 2" xfId="172" xr:uid="{00000000-0005-0000-0000-0000D10A0000}"/>
    <cellStyle name="Blankettnamn 3" xfId="173" xr:uid="{00000000-0005-0000-0000-0000D20A0000}"/>
    <cellStyle name="Bom" xfId="6974" xr:uid="{A468F130-F14B-4D78-B020-C8D7AB4D9291}"/>
    <cellStyle name="bottem" xfId="174" xr:uid="{00000000-0005-0000-0000-0000D30A0000}"/>
    <cellStyle name="bottem 2" xfId="6975" xr:uid="{FF0153E6-C6BC-402C-ADE5-4F3EA62FDF22}"/>
    <cellStyle name="bottem_AcqBal LC" xfId="6976" xr:uid="{66364701-D850-4ABC-85BA-6088E28C26F4}"/>
    <cellStyle name="Buena" xfId="6977" xr:uid="{A420BD15-0E41-425B-A0A8-942AFBDF9639}"/>
    <cellStyle name="Calc Currency (0)" xfId="175" xr:uid="{00000000-0005-0000-0000-0000D40A0000}"/>
    <cellStyle name="Calc Currency (0) 2" xfId="3021" xr:uid="{00000000-0005-0000-0000-0000D50A0000}"/>
    <cellStyle name="Calc Currency (0) 2 2" xfId="3022" xr:uid="{00000000-0005-0000-0000-0000D60A0000}"/>
    <cellStyle name="Calc Currency (0) 2_Bridges" xfId="3023" xr:uid="{00000000-0005-0000-0000-0000D70A0000}"/>
    <cellStyle name="Calc Currency (0)_Acq input" xfId="6978" xr:uid="{4F673A94-C874-4A33-BCC1-C991CD11B85E}"/>
    <cellStyle name="Calcul" xfId="176" xr:uid="{00000000-0005-0000-0000-0000D90A0000}"/>
    <cellStyle name="Calculation 10" xfId="3024" xr:uid="{00000000-0005-0000-0000-0000DA0A0000}"/>
    <cellStyle name="Calculation 11" xfId="3025" xr:uid="{00000000-0005-0000-0000-0000DB0A0000}"/>
    <cellStyle name="Calculation 12" xfId="3026" xr:uid="{00000000-0005-0000-0000-0000DC0A0000}"/>
    <cellStyle name="Calculation 13" xfId="3027" xr:uid="{00000000-0005-0000-0000-0000DD0A0000}"/>
    <cellStyle name="Calculation 14" xfId="6979" xr:uid="{6636A042-C39D-461D-B791-B1367808CEB8}"/>
    <cellStyle name="Calculation 2" xfId="177" xr:uid="{00000000-0005-0000-0000-0000DE0A0000}"/>
    <cellStyle name="Calculation 2 10" xfId="3028" xr:uid="{00000000-0005-0000-0000-0000DF0A0000}"/>
    <cellStyle name="Calculation 2 11" xfId="3029" xr:uid="{00000000-0005-0000-0000-0000E00A0000}"/>
    <cellStyle name="Calculation 2 12" xfId="3030" xr:uid="{00000000-0005-0000-0000-0000E10A0000}"/>
    <cellStyle name="Calculation 2 13" xfId="3031" xr:uid="{00000000-0005-0000-0000-0000E20A0000}"/>
    <cellStyle name="Calculation 2 14" xfId="3032" xr:uid="{00000000-0005-0000-0000-0000E30A0000}"/>
    <cellStyle name="Calculation 2 15" xfId="3033" xr:uid="{00000000-0005-0000-0000-0000E40A0000}"/>
    <cellStyle name="Calculation 2 16" xfId="3034" xr:uid="{00000000-0005-0000-0000-0000E50A0000}"/>
    <cellStyle name="Calculation 2 17" xfId="3035" xr:uid="{00000000-0005-0000-0000-0000E60A0000}"/>
    <cellStyle name="Calculation 2 18" xfId="3036" xr:uid="{00000000-0005-0000-0000-0000E70A0000}"/>
    <cellStyle name="Calculation 2 2" xfId="3037" xr:uid="{00000000-0005-0000-0000-0000E80A0000}"/>
    <cellStyle name="Calculation 2 2 10" xfId="3038" xr:uid="{00000000-0005-0000-0000-0000E90A0000}"/>
    <cellStyle name="Calculation 2 2 11" xfId="3039" xr:uid="{00000000-0005-0000-0000-0000EA0A0000}"/>
    <cellStyle name="Calculation 2 2 12" xfId="3040" xr:uid="{00000000-0005-0000-0000-0000EB0A0000}"/>
    <cellStyle name="Calculation 2 2 13" xfId="3041" xr:uid="{00000000-0005-0000-0000-0000EC0A0000}"/>
    <cellStyle name="Calculation 2 2 14" xfId="3042" xr:uid="{00000000-0005-0000-0000-0000ED0A0000}"/>
    <cellStyle name="Calculation 2 2 15" xfId="3043" xr:uid="{00000000-0005-0000-0000-0000EE0A0000}"/>
    <cellStyle name="Calculation 2 2 16" xfId="3044" xr:uid="{00000000-0005-0000-0000-0000EF0A0000}"/>
    <cellStyle name="Calculation 2 2 17" xfId="3045" xr:uid="{00000000-0005-0000-0000-0000F00A0000}"/>
    <cellStyle name="Calculation 2 2 18" xfId="3046" xr:uid="{00000000-0005-0000-0000-0000F10A0000}"/>
    <cellStyle name="Calculation 2 2 2" xfId="3047" xr:uid="{00000000-0005-0000-0000-0000F20A0000}"/>
    <cellStyle name="Calculation 2 2 2 2" xfId="3048" xr:uid="{00000000-0005-0000-0000-0000F30A0000}"/>
    <cellStyle name="Calculation 2 2 3" xfId="3049" xr:uid="{00000000-0005-0000-0000-0000F40A0000}"/>
    <cellStyle name="Calculation 2 2 4" xfId="3050" xr:uid="{00000000-0005-0000-0000-0000F50A0000}"/>
    <cellStyle name="Calculation 2 2 5" xfId="3051" xr:uid="{00000000-0005-0000-0000-0000F60A0000}"/>
    <cellStyle name="Calculation 2 2 6" xfId="3052" xr:uid="{00000000-0005-0000-0000-0000F70A0000}"/>
    <cellStyle name="Calculation 2 2 7" xfId="3053" xr:uid="{00000000-0005-0000-0000-0000F80A0000}"/>
    <cellStyle name="Calculation 2 2 8" xfId="3054" xr:uid="{00000000-0005-0000-0000-0000F90A0000}"/>
    <cellStyle name="Calculation 2 2 9" xfId="3055" xr:uid="{00000000-0005-0000-0000-0000FA0A0000}"/>
    <cellStyle name="Calculation 2 2_ACOL eqity" xfId="3056" xr:uid="{00000000-0005-0000-0000-0000FB0A0000}"/>
    <cellStyle name="Calculation 2 3" xfId="3057" xr:uid="{00000000-0005-0000-0000-0000FC0A0000}"/>
    <cellStyle name="Calculation 2 3 2" xfId="3058" xr:uid="{00000000-0005-0000-0000-0000FD0A0000}"/>
    <cellStyle name="Calculation 2 3_Derivatives" xfId="3059" xr:uid="{00000000-0005-0000-0000-0000FE0A0000}"/>
    <cellStyle name="Calculation 2 4" xfId="3060" xr:uid="{00000000-0005-0000-0000-0000FF0A0000}"/>
    <cellStyle name="Calculation 2 4 2" xfId="3061" xr:uid="{00000000-0005-0000-0000-0000000B0000}"/>
    <cellStyle name="Calculation 2 5" xfId="3062" xr:uid="{00000000-0005-0000-0000-0000010B0000}"/>
    <cellStyle name="Calculation 2 6" xfId="3063" xr:uid="{00000000-0005-0000-0000-0000020B0000}"/>
    <cellStyle name="Calculation 2 7" xfId="3064" xr:uid="{00000000-0005-0000-0000-0000030B0000}"/>
    <cellStyle name="Calculation 2 8" xfId="3065" xr:uid="{00000000-0005-0000-0000-0000040B0000}"/>
    <cellStyle name="Calculation 2 8 2" xfId="3066" xr:uid="{00000000-0005-0000-0000-0000050B0000}"/>
    <cellStyle name="Calculation 2 8_Derivatives" xfId="3067" xr:uid="{00000000-0005-0000-0000-0000060B0000}"/>
    <cellStyle name="Calculation 2 9" xfId="3068" xr:uid="{00000000-0005-0000-0000-0000070B0000}"/>
    <cellStyle name="Calculation 2_5130_new" xfId="3069" xr:uid="{00000000-0005-0000-0000-0000080B0000}"/>
    <cellStyle name="Calculation 3" xfId="178" xr:uid="{00000000-0005-0000-0000-0000090B0000}"/>
    <cellStyle name="Calculation 3 2" xfId="3070" xr:uid="{00000000-0005-0000-0000-00000A0B0000}"/>
    <cellStyle name="Calculation 3 2 2" xfId="3071" xr:uid="{00000000-0005-0000-0000-00000B0B0000}"/>
    <cellStyle name="Calculation 3 2 3" xfId="3072" xr:uid="{00000000-0005-0000-0000-00000C0B0000}"/>
    <cellStyle name="Calculation 3 3" xfId="3073" xr:uid="{00000000-0005-0000-0000-00000D0B0000}"/>
    <cellStyle name="Calculation 3 3 2" xfId="3074" xr:uid="{00000000-0005-0000-0000-00000E0B0000}"/>
    <cellStyle name="Calculation 3 4" xfId="3075" xr:uid="{00000000-0005-0000-0000-00000F0B0000}"/>
    <cellStyle name="Calculation 3 5" xfId="3076" xr:uid="{00000000-0005-0000-0000-0000100B0000}"/>
    <cellStyle name="Calculation 3 6" xfId="3077" xr:uid="{00000000-0005-0000-0000-0000110B0000}"/>
    <cellStyle name="Calculation 3 7" xfId="3078" xr:uid="{00000000-0005-0000-0000-0000120B0000}"/>
    <cellStyle name="Calculation 3 8" xfId="3079" xr:uid="{00000000-0005-0000-0000-0000130B0000}"/>
    <cellStyle name="Calculation 3 9" xfId="3080" xr:uid="{00000000-0005-0000-0000-0000140B0000}"/>
    <cellStyle name="Calculation 3_Australia Results" xfId="6980" xr:uid="{98AD4F92-F3BC-438A-A1F5-BA8D62961176}"/>
    <cellStyle name="Calculation 4" xfId="179" xr:uid="{00000000-0005-0000-0000-0000160B0000}"/>
    <cellStyle name="Calculation 4 2" xfId="3081" xr:uid="{00000000-0005-0000-0000-0000170B0000}"/>
    <cellStyle name="Calculation 4_Australia Results" xfId="6981" xr:uid="{43C03660-3FA1-4C55-9254-12EF847984F8}"/>
    <cellStyle name="Calculation 5" xfId="180" xr:uid="{00000000-0005-0000-0000-0000190B0000}"/>
    <cellStyle name="Calculation 6" xfId="3082" xr:uid="{00000000-0005-0000-0000-00001A0B0000}"/>
    <cellStyle name="Calculation 7" xfId="3083" xr:uid="{00000000-0005-0000-0000-00001B0B0000}"/>
    <cellStyle name="Calculation 8" xfId="3084" xr:uid="{00000000-0005-0000-0000-00001C0B0000}"/>
    <cellStyle name="Calculation 9" xfId="3085" xr:uid="{00000000-0005-0000-0000-00001D0B0000}"/>
    <cellStyle name="Cálculo" xfId="6982" xr:uid="{39854781-E10B-476B-A5D5-31A219FE7F87}"/>
    <cellStyle name="Celda de comprobación" xfId="6983" xr:uid="{E7860380-32F7-4ECE-AED9-62947EEDD7D3}"/>
    <cellStyle name="Celda vinculada" xfId="6984" xr:uid="{E949ECFC-78BF-4EAC-9D04-2DCF119C8452}"/>
    <cellStyle name="Cellule liée" xfId="181" xr:uid="{00000000-0005-0000-0000-00001E0B0000}"/>
    <cellStyle name="Célula de Verificação" xfId="6985" xr:uid="{A77C5DD8-FC3C-4310-AA78-42E08005C1DE}"/>
    <cellStyle name="Célula Vinculada" xfId="6986" xr:uid="{ADB57816-D3DD-401D-9F3C-9B63A9E66411}"/>
    <cellStyle name="Check Cell 10" xfId="3086" xr:uid="{00000000-0005-0000-0000-00001F0B0000}"/>
    <cellStyle name="Check Cell 11" xfId="3087" xr:uid="{00000000-0005-0000-0000-0000200B0000}"/>
    <cellStyle name="Check Cell 12" xfId="3088" xr:uid="{00000000-0005-0000-0000-0000210B0000}"/>
    <cellStyle name="Check Cell 13" xfId="3089" xr:uid="{00000000-0005-0000-0000-0000220B0000}"/>
    <cellStyle name="Check Cell 14" xfId="6987" xr:uid="{E8E43090-81FF-4E8D-9F10-4EBBC3D93C96}"/>
    <cellStyle name="Check Cell 2" xfId="182" xr:uid="{00000000-0005-0000-0000-0000230B0000}"/>
    <cellStyle name="Check Cell 2 10" xfId="3090" xr:uid="{00000000-0005-0000-0000-0000240B0000}"/>
    <cellStyle name="Check Cell 2 11" xfId="3091" xr:uid="{00000000-0005-0000-0000-0000250B0000}"/>
    <cellStyle name="Check Cell 2 12" xfId="3092" xr:uid="{00000000-0005-0000-0000-0000260B0000}"/>
    <cellStyle name="Check Cell 2 13" xfId="3093" xr:uid="{00000000-0005-0000-0000-0000270B0000}"/>
    <cellStyle name="Check Cell 2 14" xfId="3094" xr:uid="{00000000-0005-0000-0000-0000280B0000}"/>
    <cellStyle name="Check Cell 2 15" xfId="3095" xr:uid="{00000000-0005-0000-0000-0000290B0000}"/>
    <cellStyle name="Check Cell 2 16" xfId="3096" xr:uid="{00000000-0005-0000-0000-00002A0B0000}"/>
    <cellStyle name="Check Cell 2 17" xfId="3097" xr:uid="{00000000-0005-0000-0000-00002B0B0000}"/>
    <cellStyle name="Check Cell 2 18" xfId="3098" xr:uid="{00000000-0005-0000-0000-00002C0B0000}"/>
    <cellStyle name="Check Cell 2 2" xfId="3099" xr:uid="{00000000-0005-0000-0000-00002D0B0000}"/>
    <cellStyle name="Check Cell 2 2 10" xfId="3100" xr:uid="{00000000-0005-0000-0000-00002E0B0000}"/>
    <cellStyle name="Check Cell 2 2 11" xfId="3101" xr:uid="{00000000-0005-0000-0000-00002F0B0000}"/>
    <cellStyle name="Check Cell 2 2 12" xfId="3102" xr:uid="{00000000-0005-0000-0000-0000300B0000}"/>
    <cellStyle name="Check Cell 2 2 13" xfId="3103" xr:uid="{00000000-0005-0000-0000-0000310B0000}"/>
    <cellStyle name="Check Cell 2 2 14" xfId="3104" xr:uid="{00000000-0005-0000-0000-0000320B0000}"/>
    <cellStyle name="Check Cell 2 2 15" xfId="3105" xr:uid="{00000000-0005-0000-0000-0000330B0000}"/>
    <cellStyle name="Check Cell 2 2 16" xfId="3106" xr:uid="{00000000-0005-0000-0000-0000340B0000}"/>
    <cellStyle name="Check Cell 2 2 17" xfId="3107" xr:uid="{00000000-0005-0000-0000-0000350B0000}"/>
    <cellStyle name="Check Cell 2 2 18" xfId="3108" xr:uid="{00000000-0005-0000-0000-0000360B0000}"/>
    <cellStyle name="Check Cell 2 2 2" xfId="3109" xr:uid="{00000000-0005-0000-0000-0000370B0000}"/>
    <cellStyle name="Check Cell 2 2 3" xfId="3110" xr:uid="{00000000-0005-0000-0000-0000380B0000}"/>
    <cellStyle name="Check Cell 2 2 4" xfId="3111" xr:uid="{00000000-0005-0000-0000-0000390B0000}"/>
    <cellStyle name="Check Cell 2 2 5" xfId="3112" xr:uid="{00000000-0005-0000-0000-00003A0B0000}"/>
    <cellStyle name="Check Cell 2 2 6" xfId="3113" xr:uid="{00000000-0005-0000-0000-00003B0B0000}"/>
    <cellStyle name="Check Cell 2 2 7" xfId="3114" xr:uid="{00000000-0005-0000-0000-00003C0B0000}"/>
    <cellStyle name="Check Cell 2 2 8" xfId="3115" xr:uid="{00000000-0005-0000-0000-00003D0B0000}"/>
    <cellStyle name="Check Cell 2 2 9" xfId="3116" xr:uid="{00000000-0005-0000-0000-00003E0B0000}"/>
    <cellStyle name="Check Cell 2 2_ACOL eqity" xfId="3117" xr:uid="{00000000-0005-0000-0000-00003F0B0000}"/>
    <cellStyle name="Check Cell 2 3" xfId="3118" xr:uid="{00000000-0005-0000-0000-0000400B0000}"/>
    <cellStyle name="Check Cell 2 3 2" xfId="3119" xr:uid="{00000000-0005-0000-0000-0000410B0000}"/>
    <cellStyle name="Check Cell 2 3_Derivatives" xfId="3120" xr:uid="{00000000-0005-0000-0000-0000420B0000}"/>
    <cellStyle name="Check Cell 2 4" xfId="3121" xr:uid="{00000000-0005-0000-0000-0000430B0000}"/>
    <cellStyle name="Check Cell 2 4 2" xfId="3122" xr:uid="{00000000-0005-0000-0000-0000440B0000}"/>
    <cellStyle name="Check Cell 2 5" xfId="3123" xr:uid="{00000000-0005-0000-0000-0000450B0000}"/>
    <cellStyle name="Check Cell 2 6" xfId="3124" xr:uid="{00000000-0005-0000-0000-0000460B0000}"/>
    <cellStyle name="Check Cell 2 7" xfId="3125" xr:uid="{00000000-0005-0000-0000-0000470B0000}"/>
    <cellStyle name="Check Cell 2 8" xfId="3126" xr:uid="{00000000-0005-0000-0000-0000480B0000}"/>
    <cellStyle name="Check Cell 2 9" xfId="3127" xr:uid="{00000000-0005-0000-0000-0000490B0000}"/>
    <cellStyle name="Check Cell 2_5130_new" xfId="3128" xr:uid="{00000000-0005-0000-0000-00004A0B0000}"/>
    <cellStyle name="Check Cell 3" xfId="183" xr:uid="{00000000-0005-0000-0000-00004B0B0000}"/>
    <cellStyle name="Check Cell 3 2" xfId="3129" xr:uid="{00000000-0005-0000-0000-00004C0B0000}"/>
    <cellStyle name="Check Cell 3 3" xfId="3130" xr:uid="{00000000-0005-0000-0000-00004D0B0000}"/>
    <cellStyle name="Check Cell 3 4" xfId="3131" xr:uid="{00000000-0005-0000-0000-00004E0B0000}"/>
    <cellStyle name="Check Cell 3 5" xfId="3132" xr:uid="{00000000-0005-0000-0000-00004F0B0000}"/>
    <cellStyle name="Check Cell 3 6" xfId="3133" xr:uid="{00000000-0005-0000-0000-0000500B0000}"/>
    <cellStyle name="Check Cell 3 7" xfId="3134" xr:uid="{00000000-0005-0000-0000-0000510B0000}"/>
    <cellStyle name="Check Cell 3 8" xfId="3135" xr:uid="{00000000-0005-0000-0000-0000520B0000}"/>
    <cellStyle name="Check Cell 3 9" xfId="3136" xr:uid="{00000000-0005-0000-0000-0000530B0000}"/>
    <cellStyle name="Check Cell 3_Australia Results" xfId="6988" xr:uid="{86A5C716-5A2B-4DFB-98F2-90095417ADD6}"/>
    <cellStyle name="Check Cell 4" xfId="184" xr:uid="{00000000-0005-0000-0000-0000550B0000}"/>
    <cellStyle name="Check Cell 4 2" xfId="3137" xr:uid="{00000000-0005-0000-0000-0000560B0000}"/>
    <cellStyle name="Check Cell 4_EQU" xfId="3138" xr:uid="{00000000-0005-0000-0000-0000570B0000}"/>
    <cellStyle name="Check Cell 5" xfId="185" xr:uid="{00000000-0005-0000-0000-0000580B0000}"/>
    <cellStyle name="Check Cell 6" xfId="3139" xr:uid="{00000000-0005-0000-0000-0000590B0000}"/>
    <cellStyle name="Check Cell 7" xfId="3140" xr:uid="{00000000-0005-0000-0000-00005A0B0000}"/>
    <cellStyle name="Check Cell 8" xfId="3141" xr:uid="{00000000-0005-0000-0000-00005B0B0000}"/>
    <cellStyle name="Check Cell 9" xfId="3142" xr:uid="{00000000-0005-0000-0000-00005C0B0000}"/>
    <cellStyle name="ColumnHeading" xfId="186" xr:uid="{00000000-0005-0000-0000-00005D0B0000}"/>
    <cellStyle name="ColumnHeading 2" xfId="3143" xr:uid="{00000000-0005-0000-0000-00005E0B0000}"/>
    <cellStyle name="Comma" xfId="2" builtinId="3"/>
    <cellStyle name="Comma [0] 2" xfId="3144" xr:uid="{00000000-0005-0000-0000-0000600B0000}"/>
    <cellStyle name="Comma [0] 2 2" xfId="3145" xr:uid="{00000000-0005-0000-0000-0000610B0000}"/>
    <cellStyle name="Comma [0] 2 2 2" xfId="6139" xr:uid="{35CA1CEA-8B10-4D56-88C2-F6C4A7EAF254}"/>
    <cellStyle name="Comma [0] 2 2_Cash flow" xfId="6989" xr:uid="{C57F2A7E-1421-49C6-B8D3-B540542A100C}"/>
    <cellStyle name="Comma [0] 2 3" xfId="6138" xr:uid="{1AD425A9-21B5-4A62-B27C-79D9C38D8CE6}"/>
    <cellStyle name="Comma [0] 2_Australia Results" xfId="6990" xr:uid="{D62E2909-4984-4292-AA36-7B43AD1C97F0}"/>
    <cellStyle name="Comma [0] 3" xfId="3146" xr:uid="{00000000-0005-0000-0000-0000630B0000}"/>
    <cellStyle name="Comma 10" xfId="188" xr:uid="{00000000-0005-0000-0000-0000640B0000}"/>
    <cellStyle name="Comma 10 2" xfId="189" xr:uid="{00000000-0005-0000-0000-0000650B0000}"/>
    <cellStyle name="Comma 10 2 2" xfId="3147" xr:uid="{00000000-0005-0000-0000-0000660B0000}"/>
    <cellStyle name="Comma 10 3" xfId="190" xr:uid="{00000000-0005-0000-0000-0000670B0000}"/>
    <cellStyle name="Comma 10 3 2" xfId="3148" xr:uid="{00000000-0005-0000-0000-0000680B0000}"/>
    <cellStyle name="Comma 10 4" xfId="3149" xr:uid="{00000000-0005-0000-0000-0000690B0000}"/>
    <cellStyle name="Comma 10_Australia Results" xfId="6991" xr:uid="{E36EBB40-8431-45E5-8BB6-0623C398160E}"/>
    <cellStyle name="Comma 11" xfId="191" xr:uid="{00000000-0005-0000-0000-00006B0B0000}"/>
    <cellStyle name="Comma 11 2" xfId="3150" xr:uid="{00000000-0005-0000-0000-00006C0B0000}"/>
    <cellStyle name="Comma 11 2 2" xfId="6140" xr:uid="{E6AFB90B-BC32-421A-8AC4-EEACE87EA950}"/>
    <cellStyle name="Comma 11 2_Cash flow" xfId="6992" xr:uid="{8414D62B-2FE5-408A-9EB1-A2629A7ADA88}"/>
    <cellStyle name="Comma 11_Australia Results" xfId="6993" xr:uid="{EE0620BF-E85C-485C-A64B-1B2EDE9FADE8}"/>
    <cellStyle name="Comma 12" xfId="192" xr:uid="{00000000-0005-0000-0000-00006E0B0000}"/>
    <cellStyle name="Comma 12 2" xfId="3151" xr:uid="{00000000-0005-0000-0000-00006F0B0000}"/>
    <cellStyle name="Comma 12 2 2" xfId="6141" xr:uid="{231845B8-A77C-483B-878C-BEED1235BEDC}"/>
    <cellStyle name="Comma 12 2_Cash flow" xfId="6994" xr:uid="{98BA687C-D390-43F0-95E1-3D373918FA62}"/>
    <cellStyle name="Comma 12 3" xfId="3152" xr:uid="{00000000-0005-0000-0000-0000700B0000}"/>
    <cellStyle name="Comma 12_Acq input" xfId="6995" xr:uid="{B3CAA0C9-327D-4AB4-88E4-60606AC14B44}"/>
    <cellStyle name="Comma 13" xfId="187" xr:uid="{00000000-0005-0000-0000-0000720B0000}"/>
    <cellStyle name="Comma 13 2" xfId="3153" xr:uid="{00000000-0005-0000-0000-0000730B0000}"/>
    <cellStyle name="Comma 13 2 2" xfId="6142" xr:uid="{5D5916AA-23D1-4FD5-BFEF-662425E00495}"/>
    <cellStyle name="Comma 13 2_Cash flow" xfId="6996" xr:uid="{CF754E3A-C6AF-43E3-AE9D-2FDB4647FEDF}"/>
    <cellStyle name="Comma 13_Acq input" xfId="6997" xr:uid="{B603A90E-5026-41CC-895E-626A94E1CE21}"/>
    <cellStyle name="Comma 14" xfId="3154" xr:uid="{00000000-0005-0000-0000-0000750B0000}"/>
    <cellStyle name="Comma 14 2" xfId="3155" xr:uid="{00000000-0005-0000-0000-0000760B0000}"/>
    <cellStyle name="Comma 14 3" xfId="6143" xr:uid="{C539E4A2-1B74-4549-A61C-B923855C2374}"/>
    <cellStyle name="Comma 14_Acq input" xfId="6998" xr:uid="{D11E1FAD-C4A1-4C56-87E3-F9938F7D8BCA}"/>
    <cellStyle name="Comma 15" xfId="3156" xr:uid="{00000000-0005-0000-0000-0000780B0000}"/>
    <cellStyle name="Comma 15 2" xfId="3157" xr:uid="{00000000-0005-0000-0000-0000790B0000}"/>
    <cellStyle name="Comma 15 3" xfId="6144" xr:uid="{EF938DA7-2E99-484D-9BB4-1BC34B410B34}"/>
    <cellStyle name="Comma 15_Acq input" xfId="6999" xr:uid="{64BD9B67-4B97-468D-AC04-66B2D801BC6F}"/>
    <cellStyle name="Comma 16" xfId="3158" xr:uid="{00000000-0005-0000-0000-00007B0B0000}"/>
    <cellStyle name="Comma 16 2" xfId="6145" xr:uid="{B6324CB1-0414-48BD-8A56-05245FF5C2FB}"/>
    <cellStyle name="Comma 16_Acq input" xfId="7000" xr:uid="{74E922DA-548F-4E76-B496-05A234A08EE3}"/>
    <cellStyle name="Comma 17" xfId="3159" xr:uid="{00000000-0005-0000-0000-00007C0B0000}"/>
    <cellStyle name="Comma 17 2" xfId="6146" xr:uid="{4EC88930-627C-4EB9-972A-1523D2532242}"/>
    <cellStyle name="Comma 17_Acq input" xfId="7001" xr:uid="{1BC61DBA-8AC6-4850-A5D9-A9BEB461A2AE}"/>
    <cellStyle name="Comma 18" xfId="3160" xr:uid="{00000000-0005-0000-0000-00007D0B0000}"/>
    <cellStyle name="Comma 18 2" xfId="6147" xr:uid="{4CF8226E-30F5-4DEB-A210-90B990245681}"/>
    <cellStyle name="Comma 18_Acq input" xfId="7002" xr:uid="{66963078-B3E7-4994-9590-5BA52FA22C86}"/>
    <cellStyle name="Comma 19" xfId="3161" xr:uid="{00000000-0005-0000-0000-00007E0B0000}"/>
    <cellStyle name="Comma 19 2" xfId="3162" xr:uid="{00000000-0005-0000-0000-00007F0B0000}"/>
    <cellStyle name="Comma 19 3" xfId="6148" xr:uid="{D816DE17-496C-47EB-8C18-4A23E456CEC0}"/>
    <cellStyle name="Comma 19_Cash flow" xfId="7003" xr:uid="{B752F448-1890-4FCF-9D0B-27601D860937}"/>
    <cellStyle name="Comma 2" xfId="193" xr:uid="{00000000-0005-0000-0000-0000810B0000}"/>
    <cellStyle name="Comma 2 10" xfId="3163" xr:uid="{00000000-0005-0000-0000-0000820B0000}"/>
    <cellStyle name="Comma 2 10 2" xfId="6149" xr:uid="{08CFD0B4-0AE7-4D48-985E-5FA229D1F1CE}"/>
    <cellStyle name="Comma 2 10_Cash flow" xfId="7004" xr:uid="{09E4B58E-D0B4-46D7-BE87-0275F64C8428}"/>
    <cellStyle name="Comma 2 11" xfId="7005" xr:uid="{3F241E8E-DABC-41D7-A025-0FF5902563BE}"/>
    <cellStyle name="Comma 2 12" xfId="7006" xr:uid="{F7ACE768-CA9C-4B34-AB55-41952D5B1989}"/>
    <cellStyle name="Comma 2 13" xfId="7007" xr:uid="{2C7E5526-A70E-4173-AFD3-60EAB49505BD}"/>
    <cellStyle name="Comma 2 14" xfId="7008" xr:uid="{9C4C60B8-1EC6-4DC0-AD27-CC47E320D227}"/>
    <cellStyle name="Comma 2 15" xfId="7009" xr:uid="{A05E4B40-C25D-4356-9DBA-206C09FA8B99}"/>
    <cellStyle name="Comma 2 16" xfId="7010" xr:uid="{74AD99EB-282D-419D-9DEF-A524DEB2EE98}"/>
    <cellStyle name="Comma 2 17" xfId="7011" xr:uid="{E607685C-1F9B-4D4D-9AFC-11A4A5376DB7}"/>
    <cellStyle name="Comma 2 18" xfId="7012" xr:uid="{5974CA47-42E9-4060-A989-C3CBF62D8613}"/>
    <cellStyle name="Comma 2 19" xfId="7013" xr:uid="{94667D25-9F06-4A0C-98A8-63CA9FE4AFCA}"/>
    <cellStyle name="Comma 2 2" xfId="194" xr:uid="{00000000-0005-0000-0000-0000830B0000}"/>
    <cellStyle name="Comma 2 2 10" xfId="7014" xr:uid="{75723AED-22DF-48D3-92BC-5471AF975EF2}"/>
    <cellStyle name="Comma 2 2 11" xfId="7015" xr:uid="{6323D968-9243-405E-9AB7-F701CCD0A9CB}"/>
    <cellStyle name="Comma 2 2 12" xfId="7016" xr:uid="{6B317594-2490-4DA1-A53C-C34FAB09E519}"/>
    <cellStyle name="Comma 2 2 13" xfId="7017" xr:uid="{CC031571-CC38-46C5-80F0-A47207800A5A}"/>
    <cellStyle name="Comma 2 2 14" xfId="7018" xr:uid="{90A5AA61-6DA4-4426-B6D1-CE8D5FBCD256}"/>
    <cellStyle name="Comma 2 2 15" xfId="7019" xr:uid="{30335A11-5DFA-46EF-8B42-E7E8476D9FA5}"/>
    <cellStyle name="Comma 2 2 16" xfId="7020" xr:uid="{FDF983B2-7172-427C-8A94-BCBD5F69991D}"/>
    <cellStyle name="Comma 2 2 17" xfId="7021" xr:uid="{B91FF7BE-9855-42F3-BAEC-B60D2E25172E}"/>
    <cellStyle name="Comma 2 2 18" xfId="7022" xr:uid="{2FF60339-0BD2-42EF-8AAE-D4466768D752}"/>
    <cellStyle name="Comma 2 2 19" xfId="7023" xr:uid="{601845D1-BAC9-4609-8616-FFCEC7D69039}"/>
    <cellStyle name="Comma 2 2 2" xfId="3164" xr:uid="{00000000-0005-0000-0000-0000840B0000}"/>
    <cellStyle name="Comma 2 2 2 2" xfId="7024" xr:uid="{6A36020E-2BE5-4E2F-91B4-7835F7CE3F50}"/>
    <cellStyle name="Comma 2 2 2 3" xfId="7025" xr:uid="{E4D5C507-421F-4428-8ABB-DC95EBA22102}"/>
    <cellStyle name="Comma 2 2 2 4" xfId="7026" xr:uid="{1FFB2F99-A584-41EE-AD6C-A440C053C9F8}"/>
    <cellStyle name="Comma 2 2 2 5" xfId="7027" xr:uid="{5AD5D98A-F53E-4E39-A5CB-E8DDB948B020}"/>
    <cellStyle name="Comma 2 2 2_SouthAfrica BEE" xfId="7028" xr:uid="{04D6C1B9-CB38-4CA9-90DD-88944ADE140A}"/>
    <cellStyle name="Comma 2 2 20" xfId="7029" xr:uid="{56833AF2-27D0-4502-BEA0-26ECF794D018}"/>
    <cellStyle name="Comma 2 2 21" xfId="7030" xr:uid="{38AC9048-FE67-467D-B542-02CC661AC487}"/>
    <cellStyle name="Comma 2 2 22" xfId="7031" xr:uid="{DAFF9F81-57E9-447D-826D-9E2FA7A86FA3}"/>
    <cellStyle name="Comma 2 2 23" xfId="7032" xr:uid="{6D448D56-13BC-43CA-84F4-723F2A22FCC5}"/>
    <cellStyle name="Comma 2 2 24" xfId="7033" xr:uid="{79D18082-6320-4F6F-889A-881D22E04C0A}"/>
    <cellStyle name="Comma 2 2 25" xfId="7034" xr:uid="{59BE9A0E-DB66-448D-B186-BB206B9909B8}"/>
    <cellStyle name="Comma 2 2 26" xfId="7035" xr:uid="{74B44225-C505-4D0D-9475-30F5BE56A37E}"/>
    <cellStyle name="Comma 2 2 27" xfId="7036" xr:uid="{26395FCA-5EFB-4649-A3E8-0E9671813328}"/>
    <cellStyle name="Comma 2 2 28" xfId="7037" xr:uid="{47D8E1BC-CF71-4BD0-8ED3-140BBE8AD274}"/>
    <cellStyle name="Comma 2 2 29" xfId="7038" xr:uid="{5887A57E-FE31-41BD-BE8C-5A863B012EF5}"/>
    <cellStyle name="Comma 2 2 3" xfId="3165" xr:uid="{00000000-0005-0000-0000-0000850B0000}"/>
    <cellStyle name="Comma 2 2 30" xfId="7039" xr:uid="{98E7DB9E-8204-4F6B-9DE6-BB1A5FFB056D}"/>
    <cellStyle name="Comma 2 2 31" xfId="7040" xr:uid="{B81F8005-2F47-4D8E-9FD4-862F7361F4C9}"/>
    <cellStyle name="Comma 2 2 32" xfId="7041" xr:uid="{03EEFC32-31D6-4D4F-82A0-176B72178224}"/>
    <cellStyle name="Comma 2 2 33" xfId="7042" xr:uid="{959925DB-13FA-45EE-8219-1DAAA56352A1}"/>
    <cellStyle name="Comma 2 2 34" xfId="7043" xr:uid="{B805568A-920B-4270-A30B-024532F4344E}"/>
    <cellStyle name="Comma 2 2 35" xfId="7044" xr:uid="{8BEB1AF5-602B-4795-838B-C9F4214F2B52}"/>
    <cellStyle name="Comma 2 2 36" xfId="7045" xr:uid="{3B6A8CF8-CFCE-462A-9C66-760EE7B8494E}"/>
    <cellStyle name="Comma 2 2 37" xfId="7046" xr:uid="{5FD46CB3-E844-4F47-A3A0-7EA6611F9BEF}"/>
    <cellStyle name="Comma 2 2 38" xfId="7047" xr:uid="{A82ED73B-0BCB-4087-9C0E-40DFAA70A67D}"/>
    <cellStyle name="Comma 2 2 39" xfId="7048" xr:uid="{53D66FBF-DFF8-43FE-B7AC-BD6F5FDD8D1F}"/>
    <cellStyle name="Comma 2 2 4" xfId="3166" xr:uid="{00000000-0005-0000-0000-0000860B0000}"/>
    <cellStyle name="Comma 2 2 40" xfId="7049" xr:uid="{0543E5D4-5986-4932-ACB7-1BDCAF7BFE24}"/>
    <cellStyle name="Comma 2 2 41" xfId="7050" xr:uid="{677DB634-DD3C-4E2B-938B-A3FA86F72C32}"/>
    <cellStyle name="Comma 2 2 42" xfId="7051" xr:uid="{829DC946-73A7-4B8D-A0E1-F7D17413E78D}"/>
    <cellStyle name="Comma 2 2 43" xfId="7052" xr:uid="{E221AEAB-DD6A-4745-BA67-404479232E43}"/>
    <cellStyle name="Comma 2 2 44" xfId="7053" xr:uid="{456B7A68-FE1B-4951-8B83-C9AFB531F793}"/>
    <cellStyle name="Comma 2 2 45" xfId="7054" xr:uid="{11FD9616-953C-41E7-B1AA-2CC6FB6F3F0F}"/>
    <cellStyle name="Comma 2 2 46" xfId="7055" xr:uid="{30565FB2-6265-41E4-AE28-EE9515429A67}"/>
    <cellStyle name="Comma 2 2 47" xfId="7056" xr:uid="{BD145C49-D923-4F84-A592-D049C4301DED}"/>
    <cellStyle name="Comma 2 2 48" xfId="7057" xr:uid="{5282084A-D1F9-4A80-97E0-4358B7453318}"/>
    <cellStyle name="Comma 2 2 49" xfId="7058" xr:uid="{35E2E1A0-EA26-4D6F-BAC9-EDEB71A8B4CF}"/>
    <cellStyle name="Comma 2 2 5" xfId="3167" xr:uid="{00000000-0005-0000-0000-0000870B0000}"/>
    <cellStyle name="Comma 2 2 5 2" xfId="3168" xr:uid="{00000000-0005-0000-0000-0000880B0000}"/>
    <cellStyle name="Comma 2 2 5 3" xfId="6150" xr:uid="{0244D71B-2AC3-4696-B0E1-8DD626BB388E}"/>
    <cellStyle name="Comma 2 2 5_Cash flow" xfId="7059" xr:uid="{10F32A5F-DB02-4F68-803A-2F2E8A3E2DD7}"/>
    <cellStyle name="Comma 2 2 50" xfId="7060" xr:uid="{756EEA3F-CF6A-415A-9003-42DDF8E0A92A}"/>
    <cellStyle name="Comma 2 2 51" xfId="7061" xr:uid="{21134881-AF2A-4F79-A8FF-EF28BF3F986D}"/>
    <cellStyle name="Comma 2 2 52" xfId="7062" xr:uid="{F0A3D273-3C08-48DD-9AB6-4B01515CCC4D}"/>
    <cellStyle name="Comma 2 2 53" xfId="7063" xr:uid="{3FDE46F9-9F06-4836-ACFD-2A8C67C716C4}"/>
    <cellStyle name="Comma 2 2 54" xfId="7064" xr:uid="{1A19E424-5925-4E8D-9C88-6064E1D481AC}"/>
    <cellStyle name="Comma 2 2 55" xfId="7065" xr:uid="{21945818-38A2-4BB6-B451-81DD72219D2A}"/>
    <cellStyle name="Comma 2 2 56" xfId="7066" xr:uid="{43B079E1-A788-4C91-AA84-05CA738ED72F}"/>
    <cellStyle name="Comma 2 2 57" xfId="7067" xr:uid="{AD602B4C-5498-42BD-926D-417B48982788}"/>
    <cellStyle name="Comma 2 2 58" xfId="7068" xr:uid="{1A6BE1C6-A84C-4561-B1B6-2C02954D0BEE}"/>
    <cellStyle name="Comma 2 2 59" xfId="7069" xr:uid="{69C99A17-C17F-4579-B5CF-73FB5426506A}"/>
    <cellStyle name="Comma 2 2 6" xfId="3169" xr:uid="{00000000-0005-0000-0000-00008A0B0000}"/>
    <cellStyle name="Comma 2 2 60" xfId="7070" xr:uid="{EB8080FF-C2AB-48C6-B649-65B03D268912}"/>
    <cellStyle name="Comma 2 2 61" xfId="7071" xr:uid="{49C83096-4461-431D-A659-CBC0294DDF5E}"/>
    <cellStyle name="Comma 2 2 62" xfId="7072" xr:uid="{803B7D2B-5614-4696-ADED-959B2F8D2B58}"/>
    <cellStyle name="Comma 2 2 63" xfId="7073" xr:uid="{6CEA8023-5D58-46F0-A29C-BB1A121C21AD}"/>
    <cellStyle name="Comma 2 2 64" xfId="7074" xr:uid="{24C3B9C1-6F99-48EA-AB8B-59115A5BAEE9}"/>
    <cellStyle name="Comma 2 2 65" xfId="7075" xr:uid="{682101C0-745D-486A-AE9B-F4B8199D9E6F}"/>
    <cellStyle name="Comma 2 2 66" xfId="7076" xr:uid="{D7D7A88B-EDA5-41A4-94CB-AB2987231272}"/>
    <cellStyle name="Comma 2 2 67" xfId="7077" xr:uid="{91834708-F1E2-493A-A3B1-7D31EFCF3E96}"/>
    <cellStyle name="Comma 2 2 68" xfId="7078" xr:uid="{E5317A19-8EA9-424C-98E2-496494A95DE0}"/>
    <cellStyle name="Comma 2 2 69" xfId="7079" xr:uid="{1F0DC71F-B921-45A1-9980-58D83215A3D0}"/>
    <cellStyle name="Comma 2 2 7" xfId="3170" xr:uid="{00000000-0005-0000-0000-00008B0B0000}"/>
    <cellStyle name="Comma 2 2 7 2" xfId="6151" xr:uid="{E798E5AF-47E9-4169-B168-330B2F9054FC}"/>
    <cellStyle name="Comma 2 2 7_Cash flow" xfId="7080" xr:uid="{6B6EA950-B984-49F3-9C4D-675EDA83544E}"/>
    <cellStyle name="Comma 2 2 70" xfId="7081" xr:uid="{630EEC8F-75F5-4C07-9884-16764052C7FE}"/>
    <cellStyle name="Comma 2 2 71" xfId="7082" xr:uid="{E58C4411-A54E-4DE5-AE91-165DD046CDA6}"/>
    <cellStyle name="Comma 2 2 72" xfId="7083" xr:uid="{DFF6FF54-1FAF-4357-B876-D1CD1CCEEF11}"/>
    <cellStyle name="Comma 2 2 73" xfId="7084" xr:uid="{5C6D8BEF-88C3-4CEC-B336-8DAE928BAB5D}"/>
    <cellStyle name="Comma 2 2 74" xfId="7085" xr:uid="{883AF206-E6EA-4F24-8E75-368EE5BC74FC}"/>
    <cellStyle name="Comma 2 2 8" xfId="3171" xr:uid="{00000000-0005-0000-0000-00008C0B0000}"/>
    <cellStyle name="Comma 2 2 8 2" xfId="6152" xr:uid="{99486059-19F8-457B-A8A6-BC2F7FB05509}"/>
    <cellStyle name="Comma 2 2 8_Cash flow" xfId="7086" xr:uid="{09FA9C80-CABF-44B5-91BE-25738F141084}"/>
    <cellStyle name="Comma 2 2 9" xfId="7087" xr:uid="{D3466621-A64E-420A-8070-398B834F2746}"/>
    <cellStyle name="Comma 2 2_Acq input" xfId="7088" xr:uid="{65AFD861-FAD6-4F21-BE6E-4A034D50C28B}"/>
    <cellStyle name="Comma 2 20" xfId="7089" xr:uid="{1D9BA787-2DC1-48CC-9D17-0EF291F15368}"/>
    <cellStyle name="Comma 2 21" xfId="7090" xr:uid="{DE5A8D80-8BE1-4510-A212-FFCB9BB1905F}"/>
    <cellStyle name="Comma 2 22" xfId="7091" xr:uid="{44F4F774-9B36-462B-BCD0-A4538ED9F29A}"/>
    <cellStyle name="Comma 2 23" xfId="7092" xr:uid="{42F436D8-4968-4649-8D02-97126FD29A34}"/>
    <cellStyle name="Comma 2 24" xfId="7093" xr:uid="{5A9B5145-F147-4013-82F0-45CD0140CDA4}"/>
    <cellStyle name="Comma 2 25" xfId="7094" xr:uid="{75F199AE-28B0-4DE6-A165-7F592F443E7B}"/>
    <cellStyle name="Comma 2 26" xfId="7095" xr:uid="{030C9DD6-DADE-40CE-8A9E-69F9EC6D5823}"/>
    <cellStyle name="Comma 2 27" xfId="7096" xr:uid="{4C0833E8-C134-4346-A870-29C1969398C8}"/>
    <cellStyle name="Comma 2 28" xfId="7097" xr:uid="{66D85303-637C-48E0-865C-2300DAA812B7}"/>
    <cellStyle name="Comma 2 29" xfId="7098" xr:uid="{9009F541-A999-4C12-BF30-149B8F81E4F5}"/>
    <cellStyle name="Comma 2 3" xfId="195" xr:uid="{00000000-0005-0000-0000-00008E0B0000}"/>
    <cellStyle name="Comma 2 3 10" xfId="7099" xr:uid="{77BFD773-A5FF-49BC-A70A-6CFA5B2F383D}"/>
    <cellStyle name="Comma 2 3 11" xfId="7100" xr:uid="{34FF65DC-A230-475F-BA18-A787BB28299A}"/>
    <cellStyle name="Comma 2 3 12" xfId="7101" xr:uid="{40F348BA-1154-4A40-AA23-6675CF16BC16}"/>
    <cellStyle name="Comma 2 3 13" xfId="7102" xr:uid="{3E7F34CA-52E3-4341-BCBE-92ACE15EC6E3}"/>
    <cellStyle name="Comma 2 3 14" xfId="7103" xr:uid="{CFB8241A-D9AC-4E9F-95C1-FC7FD83DD321}"/>
    <cellStyle name="Comma 2 3 15" xfId="7104" xr:uid="{C1F0FC00-A846-433C-B499-187BDFB36540}"/>
    <cellStyle name="Comma 2 3 16" xfId="7105" xr:uid="{4FBC6F27-279C-4655-9302-E24472D17788}"/>
    <cellStyle name="Comma 2 3 17" xfId="7106" xr:uid="{7A741A2C-9EC2-4B9B-99CC-293CEB95A8A2}"/>
    <cellStyle name="Comma 2 3 18" xfId="7107" xr:uid="{81AF033E-4927-4C41-85A6-D5E01768EE6A}"/>
    <cellStyle name="Comma 2 3 19" xfId="7108" xr:uid="{29A47562-C5B2-4EED-BB2A-910D9CEB2FF6}"/>
    <cellStyle name="Comma 2 3 2" xfId="3172" xr:uid="{00000000-0005-0000-0000-00008F0B0000}"/>
    <cellStyle name="Comma 2 3 20" xfId="7109" xr:uid="{2CBAB697-939B-4307-B41D-66F2ED746AE2}"/>
    <cellStyle name="Comma 2 3 21" xfId="7110" xr:uid="{67F02A2F-3197-458C-8B4C-4DD923C7F3BF}"/>
    <cellStyle name="Comma 2 3 22" xfId="7111" xr:uid="{19F86327-BD01-44B8-BD4D-20BF8EEFC16C}"/>
    <cellStyle name="Comma 2 3 23" xfId="7112" xr:uid="{51BEEC7C-C63F-42CC-B6AA-06EE86C97EA9}"/>
    <cellStyle name="Comma 2 3 24" xfId="7113" xr:uid="{141E5FB0-FA87-4547-8DF6-61F741DFE8AC}"/>
    <cellStyle name="Comma 2 3 25" xfId="7114" xr:uid="{B34946E5-D5E8-47DC-AF97-5519FE31DA0C}"/>
    <cellStyle name="Comma 2 3 26" xfId="7115" xr:uid="{5FA63AF4-1039-4280-A19C-C30784388E25}"/>
    <cellStyle name="Comma 2 3 27" xfId="7116" xr:uid="{4685F706-C1CD-40C8-8B74-776E308B85EB}"/>
    <cellStyle name="Comma 2 3 3" xfId="3173" xr:uid="{00000000-0005-0000-0000-0000900B0000}"/>
    <cellStyle name="Comma 2 3 4" xfId="3174" xr:uid="{00000000-0005-0000-0000-0000910B0000}"/>
    <cellStyle name="Comma 2 3 4 2" xfId="6153" xr:uid="{F5521421-6AB6-4271-82CA-1E12FAADDFA5}"/>
    <cellStyle name="Comma 2 3 4_Cash flow" xfId="7117" xr:uid="{3E0C3F1B-B4A3-44DA-B414-614E36F7EC17}"/>
    <cellStyle name="Comma 2 3 5" xfId="7118" xr:uid="{FE9437F7-845D-4137-B09B-EBA0E17147B6}"/>
    <cellStyle name="Comma 2 3 6" xfId="7119" xr:uid="{FCE8D1F8-97C2-4A8B-9FC7-F1E966D2F89A}"/>
    <cellStyle name="Comma 2 3 7" xfId="7120" xr:uid="{9E6F18DD-59DB-49EF-9435-789C6719635E}"/>
    <cellStyle name="Comma 2 3 8" xfId="7121" xr:uid="{5770091E-A893-4439-9ACA-932425CFFDAE}"/>
    <cellStyle name="Comma 2 3 9" xfId="7122" xr:uid="{7BEB6281-DE4B-4611-AD8E-C434EB5216DD}"/>
    <cellStyle name="Comma 2 3_Australia Results" xfId="7123" xr:uid="{7EF9D7FA-19F0-4ADE-8A11-D33C68891BD3}"/>
    <cellStyle name="Comma 2 30" xfId="7124" xr:uid="{DC9C44EA-8E8E-43A9-B91E-6E81EAEE4BEF}"/>
    <cellStyle name="Comma 2 31" xfId="7125" xr:uid="{72A62C50-D698-4988-A1E4-043675AD1A4F}"/>
    <cellStyle name="Comma 2 32" xfId="7126" xr:uid="{9F8FBBAE-ACFF-4925-B842-7603E4A1BABC}"/>
    <cellStyle name="Comma 2 33" xfId="7127" xr:uid="{DD251ADB-2B85-4D9F-95D1-F37352887318}"/>
    <cellStyle name="Comma 2 34" xfId="7128" xr:uid="{EDD90CA1-3A62-4DA7-BF18-F965959BD4F2}"/>
    <cellStyle name="Comma 2 35" xfId="7129" xr:uid="{F4028CE7-4E61-4117-B560-32A399AC47A6}"/>
    <cellStyle name="Comma 2 36" xfId="7130" xr:uid="{09CE679D-009B-4847-A765-6B6F8292AE8C}"/>
    <cellStyle name="Comma 2 37" xfId="7131" xr:uid="{70CE30AD-A0A3-4FBC-9BA9-BA7E668689E1}"/>
    <cellStyle name="Comma 2 38" xfId="7132" xr:uid="{38DF24DF-784D-4BC6-A025-0EF2515FB886}"/>
    <cellStyle name="Comma 2 39" xfId="7133" xr:uid="{DE48E9DC-3A43-42EC-93EE-2D22C9095EAC}"/>
    <cellStyle name="Comma 2 4" xfId="196" xr:uid="{00000000-0005-0000-0000-0000930B0000}"/>
    <cellStyle name="Comma 2 4 2" xfId="3175" xr:uid="{00000000-0005-0000-0000-0000940B0000}"/>
    <cellStyle name="Comma 2 4 3" xfId="3176" xr:uid="{00000000-0005-0000-0000-0000950B0000}"/>
    <cellStyle name="Comma 2 4 4" xfId="3177" xr:uid="{00000000-0005-0000-0000-0000960B0000}"/>
    <cellStyle name="Comma 2 4 5" xfId="3178" xr:uid="{00000000-0005-0000-0000-0000970B0000}"/>
    <cellStyle name="Comma 2 4_Australia Results" xfId="7134" xr:uid="{02ED7851-9530-46E4-AAF3-7156419C5B16}"/>
    <cellStyle name="Comma 2 40" xfId="7135" xr:uid="{451A7F39-F4EF-4478-90DF-C05504915DB8}"/>
    <cellStyle name="Comma 2 41" xfId="7136" xr:uid="{5B621DDA-DCF5-44F5-A73B-E64B30E22CD3}"/>
    <cellStyle name="Comma 2 42" xfId="7137" xr:uid="{95F67952-5591-4A15-A54A-9177521402CA}"/>
    <cellStyle name="Comma 2 43" xfId="7138" xr:uid="{0D7F5BDC-1FC3-40DF-951C-9F17A1188B35}"/>
    <cellStyle name="Comma 2 44" xfId="7139" xr:uid="{5EC2F200-D359-411C-90E3-0EC91EBBCB64}"/>
    <cellStyle name="Comma 2 45" xfId="7140" xr:uid="{44F0104A-0730-4CF7-8040-3EB3D5255163}"/>
    <cellStyle name="Comma 2 46" xfId="7141" xr:uid="{056EF888-D9F9-48E1-9EA2-D41F89990845}"/>
    <cellStyle name="Comma 2 47" xfId="7142" xr:uid="{19EAFB78-4A3F-4CDE-8319-F5E29861CB29}"/>
    <cellStyle name="Comma 2 48" xfId="7143" xr:uid="{4A055627-EC46-4568-8745-2A8F2BB8212C}"/>
    <cellStyle name="Comma 2 49" xfId="7144" xr:uid="{4CF8D676-E995-4796-B1FB-0AE3251FC118}"/>
    <cellStyle name="Comma 2 5" xfId="197" xr:uid="{00000000-0005-0000-0000-0000990B0000}"/>
    <cellStyle name="Comma 2 5 2" xfId="3179" xr:uid="{00000000-0005-0000-0000-00009A0B0000}"/>
    <cellStyle name="Comma 2 5_Derivatives" xfId="3180" xr:uid="{00000000-0005-0000-0000-00009B0B0000}"/>
    <cellStyle name="Comma 2 50" xfId="7145" xr:uid="{18E0F847-DCCC-4558-B147-99A734108945}"/>
    <cellStyle name="Comma 2 51" xfId="7146" xr:uid="{235DD16E-E563-4F7C-8906-06006F7A01EC}"/>
    <cellStyle name="Comma 2 52" xfId="7147" xr:uid="{53AEE78C-9A9B-4FA0-8C3E-2131BE1C38FB}"/>
    <cellStyle name="Comma 2 52 2" xfId="7148" xr:uid="{14862FC6-85A2-4345-AC3A-5A3392DFCBD4}"/>
    <cellStyle name="Comma 2 52 3" xfId="7149" xr:uid="{F5AC8C10-486B-4D91-AE79-E288BBB98958}"/>
    <cellStyle name="Comma 2 52 4" xfId="7150" xr:uid="{302585C1-FFAC-48E8-AAF0-364AD22EB9E1}"/>
    <cellStyle name="Comma 2 53" xfId="7151" xr:uid="{620B73E5-E27A-46C7-8015-8306506F0CE5}"/>
    <cellStyle name="Comma 2 54" xfId="7152" xr:uid="{29A3125B-25D3-4148-BAAA-3F872485C25F}"/>
    <cellStyle name="Comma 2 55" xfId="7153" xr:uid="{A8861D53-D318-40FF-A3E1-9270542107D8}"/>
    <cellStyle name="Comma 2 56" xfId="7154" xr:uid="{A1D108C9-57D6-4D20-891F-30D26F813940}"/>
    <cellStyle name="Comma 2 57" xfId="7155" xr:uid="{C5399F04-671A-41AA-A7A8-8656197BEE3D}"/>
    <cellStyle name="Comma 2 58" xfId="7156" xr:uid="{6381CEBF-0270-49A7-8725-C7D63FAE838A}"/>
    <cellStyle name="Comma 2 59" xfId="7157" xr:uid="{88FB3B51-4F1E-41D1-B2AD-98A4F07B4204}"/>
    <cellStyle name="Comma 2 6" xfId="3181" xr:uid="{00000000-0005-0000-0000-00009C0B0000}"/>
    <cellStyle name="Comma 2 6 2" xfId="3182" xr:uid="{00000000-0005-0000-0000-00009D0B0000}"/>
    <cellStyle name="Comma 2 6 3" xfId="6154" xr:uid="{A44C4281-6EA9-40E0-8BCB-616C19497AD1}"/>
    <cellStyle name="Comma 2 6_Cash flow" xfId="7158" xr:uid="{8F5F438B-8D11-424E-BD35-FBDC4B5C5EBC}"/>
    <cellStyle name="Comma 2 60" xfId="7159" xr:uid="{4A0EDB18-A197-40FA-BFE7-A89D1DB91BEB}"/>
    <cellStyle name="Comma 2 61" xfId="7160" xr:uid="{6917F11B-B9BB-4362-BE68-7FDE7299809F}"/>
    <cellStyle name="Comma 2 62" xfId="7161" xr:uid="{B521E1D0-3A66-40F6-A668-249B1C5221FF}"/>
    <cellStyle name="Comma 2 63" xfId="7162" xr:uid="{A6E74E28-0F3C-4EB5-9A83-B08E8A8804D4}"/>
    <cellStyle name="Comma 2 64" xfId="7163" xr:uid="{1107022A-9CD1-471E-A366-E5D804050BA2}"/>
    <cellStyle name="Comma 2 65" xfId="7164" xr:uid="{25D1AEA8-57BD-43FD-86BC-2FA147F11BA8}"/>
    <cellStyle name="Comma 2 66" xfId="7165" xr:uid="{0E1AD3FF-0F8C-4E8D-A0E7-F79C443D4D7C}"/>
    <cellStyle name="Comma 2 67" xfId="7166" xr:uid="{4023B97E-832F-4982-8069-660BEE84B267}"/>
    <cellStyle name="Comma 2 68" xfId="7167" xr:uid="{5C30542A-9A1F-4A95-AC73-5713833FFEC4}"/>
    <cellStyle name="Comma 2 69" xfId="7168" xr:uid="{7216D4DD-D023-473B-9AF0-5EE1B099274B}"/>
    <cellStyle name="Comma 2 7" xfId="3183" xr:uid="{00000000-0005-0000-0000-00009F0B0000}"/>
    <cellStyle name="Comma 2 7 2" xfId="3184" xr:uid="{00000000-0005-0000-0000-0000A00B0000}"/>
    <cellStyle name="Comma 2 7 2 2" xfId="6156" xr:uid="{D1514B59-34F4-4B8D-B625-01D16D81DC9F}"/>
    <cellStyle name="Comma 2 7 2_Cash flow" xfId="7170" xr:uid="{AA2732AE-8D90-41BE-A13B-EC951DE930A4}"/>
    <cellStyle name="Comma 2 7 3" xfId="6155" xr:uid="{10469D04-45D2-4858-B6F5-31A4ACFD0006}"/>
    <cellStyle name="Comma 2 7_Cash flow" xfId="7169" xr:uid="{C989AA03-1947-4B6F-9C3F-FDE5B81839DA}"/>
    <cellStyle name="Comma 2 70" xfId="7171" xr:uid="{95A78440-42B9-4337-9A0C-687C6FB3F5FF}"/>
    <cellStyle name="Comma 2 71" xfId="7172" xr:uid="{9A31D708-9811-4131-B719-79D4CA637F5F}"/>
    <cellStyle name="Comma 2 72" xfId="7173" xr:uid="{5E80B10C-C31B-4A45-B032-9E8EFC4A1D5F}"/>
    <cellStyle name="Comma 2 73" xfId="7174" xr:uid="{6CC9F9AA-7E9D-453B-9374-DABED90280B2}"/>
    <cellStyle name="Comma 2 74" xfId="7175" xr:uid="{651B72E3-C436-4943-AD03-BAE7F6F34B09}"/>
    <cellStyle name="Comma 2 75" xfId="7176" xr:uid="{18B68998-E79A-4184-AA83-F934E75DCE5C}"/>
    <cellStyle name="Comma 2 76" xfId="7177" xr:uid="{4AE11B1B-989A-4773-8EFB-4ED12172D3FD}"/>
    <cellStyle name="Comma 2 77" xfId="7178" xr:uid="{8B3F9347-C69D-42BC-9C07-96EE60505901}"/>
    <cellStyle name="Comma 2 78" xfId="7179" xr:uid="{9D30BA8D-4E22-4E26-849C-8DD7EB136F98}"/>
    <cellStyle name="Comma 2 79" xfId="7180" xr:uid="{28AF9872-76A4-49FA-8F05-3BCC96029CBE}"/>
    <cellStyle name="Comma 2 8" xfId="3185" xr:uid="{00000000-0005-0000-0000-0000A20B0000}"/>
    <cellStyle name="Comma 2 8 2" xfId="6157" xr:uid="{E2F6C5F8-511A-4D44-9C6D-A7488D7D280B}"/>
    <cellStyle name="Comma 2 8_Cash flow" xfId="7181" xr:uid="{57CB8B8F-2078-439B-9081-05CD8C77D7A0}"/>
    <cellStyle name="Comma 2 9" xfId="3186" xr:uid="{00000000-0005-0000-0000-0000A30B0000}"/>
    <cellStyle name="Comma 2 9 2" xfId="3187" xr:uid="{00000000-0005-0000-0000-0000A40B0000}"/>
    <cellStyle name="Comma 2 9 2 2" xfId="6159" xr:uid="{681E46FA-5FD4-40A0-95A6-490CA4AFBA39}"/>
    <cellStyle name="Comma 2 9 2_Cash flow" xfId="7183" xr:uid="{D9F4C2B5-1931-490C-A594-8992F5D8AEFC}"/>
    <cellStyle name="Comma 2 9 3" xfId="6158" xr:uid="{3F9FFE63-9583-470B-84CB-6A1B7BC6B1F6}"/>
    <cellStyle name="Comma 2 9_Cash flow" xfId="7182" xr:uid="{D2BA1A0F-1F09-46DA-8FEC-53F3E973E37B}"/>
    <cellStyle name="Comma 2_Acq" xfId="7184" xr:uid="{E3BE028C-B534-49E5-AB4C-A2892DC1869C}"/>
    <cellStyle name="Comma 20" xfId="3188" xr:uid="{00000000-0005-0000-0000-0000A70B0000}"/>
    <cellStyle name="Comma 20 2" xfId="6160" xr:uid="{B495E581-D89A-4F5A-A564-AD5C23540BBE}"/>
    <cellStyle name="Comma 20_Acq input" xfId="7185" xr:uid="{0582DE50-4B53-4B23-93FA-29BBF1D4E661}"/>
    <cellStyle name="Comma 21" xfId="3189" xr:uid="{00000000-0005-0000-0000-0000A80B0000}"/>
    <cellStyle name="Comma 21 2" xfId="6161" xr:uid="{CA64E387-EBFA-41A4-993C-BA44C454ED5E}"/>
    <cellStyle name="Comma 21_Acq input" xfId="7186" xr:uid="{6DE1D90B-4B6D-4612-99BA-8B6C8D2ACF95}"/>
    <cellStyle name="Comma 22" xfId="3190" xr:uid="{00000000-0005-0000-0000-0000A90B0000}"/>
    <cellStyle name="Comma 22 2" xfId="6162" xr:uid="{950E4BE3-97B6-4A9D-8647-BD9B0FF62A54}"/>
    <cellStyle name="Comma 22_Acq input" xfId="7187" xr:uid="{2E636E5E-B04E-4185-A823-FB4E0A417098}"/>
    <cellStyle name="Comma 23" xfId="3191" xr:uid="{00000000-0005-0000-0000-0000AA0B0000}"/>
    <cellStyle name="Comma 23 2" xfId="6163" xr:uid="{1A15C5BD-A5C3-4E5E-B4B0-B52A7EE855F0}"/>
    <cellStyle name="Comma 23_Acq input" xfId="7188" xr:uid="{A48A2FF6-66C6-459D-B3E3-1A2A5F90B26A}"/>
    <cellStyle name="Comma 24" xfId="3192" xr:uid="{00000000-0005-0000-0000-0000AB0B0000}"/>
    <cellStyle name="Comma 24 2" xfId="6164" xr:uid="{E560B670-9D82-40B1-9115-915C7EA37A3F}"/>
    <cellStyle name="Comma 24_Acq input" xfId="7189" xr:uid="{F8684577-CB68-4BB3-ABA1-37537EEC3FBD}"/>
    <cellStyle name="Comma 25" xfId="3193" xr:uid="{00000000-0005-0000-0000-0000AC0B0000}"/>
    <cellStyle name="Comma 25 2" xfId="3194" xr:uid="{00000000-0005-0000-0000-0000AD0B0000}"/>
    <cellStyle name="Comma 25 2 2" xfId="6166" xr:uid="{F39BC6BF-C1E7-4819-B9BA-E1B51A4B298B}"/>
    <cellStyle name="Comma 25 2_Cash flow" xfId="7190" xr:uid="{50933618-11EF-4A00-8042-F244B0B049A4}"/>
    <cellStyle name="Comma 25 3" xfId="6165" xr:uid="{E2B47B23-2825-4E99-8793-839FD54775C1}"/>
    <cellStyle name="Comma 25_Acq input" xfId="7191" xr:uid="{11081384-F8BD-4D5B-87DD-29D82BE5DB37}"/>
    <cellStyle name="Comma 26" xfId="3195" xr:uid="{00000000-0005-0000-0000-0000AF0B0000}"/>
    <cellStyle name="Comma 26 10" xfId="7193" xr:uid="{F9145F2D-C101-4406-98B0-222C2C166133}"/>
    <cellStyle name="Comma 26 11" xfId="7194" xr:uid="{EF60E675-13CD-411F-9738-3C06DC4DF951}"/>
    <cellStyle name="Comma 26 12" xfId="7195" xr:uid="{FC25C15A-683D-4412-B760-0DC39E34E6D0}"/>
    <cellStyle name="Comma 26 13" xfId="7196" xr:uid="{6944DF90-E795-4A67-9F4E-DFE0EB4E949E}"/>
    <cellStyle name="Comma 26 14" xfId="7197" xr:uid="{0F7F46B0-134C-454B-A4D2-58A860A6994E}"/>
    <cellStyle name="Comma 26 15" xfId="7198" xr:uid="{58EF3DDC-6DED-4829-B6CF-A53F8FB70124}"/>
    <cellStyle name="Comma 26 16" xfId="7199" xr:uid="{4E8CDB7C-6F19-4E9C-B93D-A0AA27121898}"/>
    <cellStyle name="Comma 26 17" xfId="7200" xr:uid="{4EDCB1E6-BE96-4C25-84C9-42C7D5C5BA97}"/>
    <cellStyle name="Comma 26 18" xfId="7201" xr:uid="{67B219FF-9DF0-4993-AA01-96E56A20DE38}"/>
    <cellStyle name="Comma 26 19" xfId="7202" xr:uid="{F29A7F9C-2FD1-4D3A-B164-F7CD11D8E0DD}"/>
    <cellStyle name="Comma 26 2" xfId="3196" xr:uid="{00000000-0005-0000-0000-0000B00B0000}"/>
    <cellStyle name="Comma 26 2 2" xfId="6168" xr:uid="{3A7CDC58-52DE-4F5C-AA7E-D5D5BE0E5E93}"/>
    <cellStyle name="Comma 26 2_Cash flow" xfId="7203" xr:uid="{D56188F6-22AC-406B-B11C-4DA5E129D9DC}"/>
    <cellStyle name="Comma 26 20" xfId="7204" xr:uid="{7C69E007-6D2B-4CE8-820C-8623AFEE692B}"/>
    <cellStyle name="Comma 26 21" xfId="7205" xr:uid="{D365D4F9-1B83-46A8-B227-4323545225C2}"/>
    <cellStyle name="Comma 26 22" xfId="7206" xr:uid="{2B1D1FF4-BA4D-4464-A297-A3ECF180F354}"/>
    <cellStyle name="Comma 26 23" xfId="7207" xr:uid="{D6728F91-AF09-4B54-965F-A3AECCBF88B6}"/>
    <cellStyle name="Comma 26 24" xfId="7208" xr:uid="{78DCC2D8-D4EC-4F33-A2FF-8572841CEE89}"/>
    <cellStyle name="Comma 26 25" xfId="7209" xr:uid="{58438692-A229-4B41-96DA-2C61A0D98D3B}"/>
    <cellStyle name="Comma 26 26" xfId="7210" xr:uid="{6B6B8AFB-07AF-4B49-9126-F05265FA9BC8}"/>
    <cellStyle name="Comma 26 3" xfId="6167" xr:uid="{5C85AC6C-CEAD-4C31-A867-D9AF0BAC5163}"/>
    <cellStyle name="Comma 26 4" xfId="7211" xr:uid="{542B82CA-3762-40AB-ADBC-EF998E64D3CE}"/>
    <cellStyle name="Comma 26 5" xfId="7212" xr:uid="{412746EC-5F64-41F5-A3D4-B175E17C78FE}"/>
    <cellStyle name="Comma 26 6" xfId="7213" xr:uid="{1F734DD3-1C53-4942-BCBF-35C36B3771E1}"/>
    <cellStyle name="Comma 26 7" xfId="7214" xr:uid="{A8E0DF10-0CC7-47B0-ABAD-8790576C3114}"/>
    <cellStyle name="Comma 26 8" xfId="7215" xr:uid="{D7A043D4-EAA9-4DC3-B2DD-FC383BC9103D}"/>
    <cellStyle name="Comma 26 9" xfId="7216" xr:uid="{A398A9E0-020C-4FFE-9209-EDBD6BC429D3}"/>
    <cellStyle name="Comma 26_Cash flow" xfId="7192" xr:uid="{54F55432-0AD7-49B7-92E2-9DAF3924B674}"/>
    <cellStyle name="Comma 27" xfId="3197" xr:uid="{00000000-0005-0000-0000-0000B20B0000}"/>
    <cellStyle name="Comma 27 2" xfId="3198" xr:uid="{00000000-0005-0000-0000-0000B30B0000}"/>
    <cellStyle name="Comma 27 2 2" xfId="6170" xr:uid="{92AA8419-3F69-428B-9B83-8D8AA8CE7ABE}"/>
    <cellStyle name="Comma 27 2_Cash flow" xfId="7218" xr:uid="{3D4A5AD3-7730-4227-B959-C9F70A0C3C65}"/>
    <cellStyle name="Comma 27 3" xfId="6169" xr:uid="{739A4BC1-9C77-4ADB-8A11-31ADEF01B068}"/>
    <cellStyle name="Comma 27_Cash flow" xfId="7217" xr:uid="{07641FC8-CCD2-46A5-B657-91FA6F9E3B68}"/>
    <cellStyle name="Comma 28" xfId="3199" xr:uid="{00000000-0005-0000-0000-0000B50B0000}"/>
    <cellStyle name="Comma 28 2" xfId="3200" xr:uid="{00000000-0005-0000-0000-0000B60B0000}"/>
    <cellStyle name="Comma 28 2 2" xfId="6172" xr:uid="{9E557275-4A64-40E1-A8FF-E14FB4DB2AB5}"/>
    <cellStyle name="Comma 28 2_Cash flow" xfId="7220" xr:uid="{3921451B-1FDC-4F79-B915-1793A27A6E11}"/>
    <cellStyle name="Comma 28 3" xfId="6171" xr:uid="{00B863F0-95F2-41B0-ADB7-B11BCA325EF0}"/>
    <cellStyle name="Comma 28_Cash flow" xfId="7219" xr:uid="{24DF0F3C-24D4-49D7-9955-D769B40BBD77}"/>
    <cellStyle name="Comma 29" xfId="3201" xr:uid="{00000000-0005-0000-0000-0000B80B0000}"/>
    <cellStyle name="Comma 29 10" xfId="7222" xr:uid="{33A00D32-57BF-4F49-BFB5-1E775B017DEA}"/>
    <cellStyle name="Comma 29 11" xfId="7223" xr:uid="{22D8B92A-985F-469E-B4C5-D11B6F85560D}"/>
    <cellStyle name="Comma 29 12" xfId="7224" xr:uid="{2C8C2680-B275-45E6-8BC2-10183EB96760}"/>
    <cellStyle name="Comma 29 13" xfId="7225" xr:uid="{EA193E9C-00F1-4522-87BC-218F91F00C01}"/>
    <cellStyle name="Comma 29 14" xfId="7226" xr:uid="{523E45F7-B4AA-4F23-B07A-625421992871}"/>
    <cellStyle name="Comma 29 2" xfId="3202" xr:uid="{00000000-0005-0000-0000-0000B90B0000}"/>
    <cellStyle name="Comma 29 2 2" xfId="6174" xr:uid="{9FE4C154-45ED-4AA8-871B-23AB5B396078}"/>
    <cellStyle name="Comma 29 2_Cash flow" xfId="7227" xr:uid="{6944484C-9A38-4FF9-8933-03472D68E460}"/>
    <cellStyle name="Comma 29 3" xfId="6173" xr:uid="{98D27685-4786-4AD4-B328-45A4C985059D}"/>
    <cellStyle name="Comma 29 4" xfId="7228" xr:uid="{47986B08-3A2B-43E9-911E-083DFD8CE2FC}"/>
    <cellStyle name="Comma 29 5" xfId="7229" xr:uid="{BFFE5A6F-4A22-494E-9BB9-0DA7CB46928F}"/>
    <cellStyle name="Comma 29 6" xfId="7230" xr:uid="{0AC88B5F-9F59-4CA3-A2D9-11A3FC11EC66}"/>
    <cellStyle name="Comma 29 7" xfId="7231" xr:uid="{3BF24B1F-C11E-4C15-9AEC-29E812B6438E}"/>
    <cellStyle name="Comma 29 8" xfId="7232" xr:uid="{6C46F4F6-5312-4752-8FC0-3D3FED469185}"/>
    <cellStyle name="Comma 29 9" xfId="7233" xr:uid="{34178C5B-96C6-4520-9049-7B6F1C6FD8AA}"/>
    <cellStyle name="Comma 29_Cash flow" xfId="7221" xr:uid="{0636B993-AA0B-484E-B6A6-DA1A30627412}"/>
    <cellStyle name="Comma 3" xfId="198" xr:uid="{00000000-0005-0000-0000-0000BB0B0000}"/>
    <cellStyle name="Comma 3 10" xfId="3203" xr:uid="{00000000-0005-0000-0000-0000BC0B0000}"/>
    <cellStyle name="Comma 3 10 2" xfId="3204" xr:uid="{00000000-0005-0000-0000-0000BD0B0000}"/>
    <cellStyle name="Comma 3 10 3" xfId="3205" xr:uid="{00000000-0005-0000-0000-0000BE0B0000}"/>
    <cellStyle name="Comma 3 10 4" xfId="6175" xr:uid="{9EBA5F42-8111-48A2-A93D-0D96BAC0C1DE}"/>
    <cellStyle name="Comma 3 10_Cash flow" xfId="7234" xr:uid="{C84FDE3A-28D3-4EE8-AC83-2CDF48C23B27}"/>
    <cellStyle name="Comma 3 100" xfId="7235" xr:uid="{BF22BFEB-3D7A-4FDA-B12C-0A778CFDAF3A}"/>
    <cellStyle name="Comma 3 101" xfId="7236" xr:uid="{C9981001-E953-46DF-8E3D-F3DBFAA98650}"/>
    <cellStyle name="Comma 3 102" xfId="7237" xr:uid="{7535BA5E-F611-4EA7-9331-A5CEE2B7E2AA}"/>
    <cellStyle name="Comma 3 103" xfId="7238" xr:uid="{A0ED799A-830F-4984-B67E-B8D4E62CFFA0}"/>
    <cellStyle name="Comma 3 104" xfId="7239" xr:uid="{D9FDC43A-5393-4016-8565-CC6212AFAD56}"/>
    <cellStyle name="Comma 3 105" xfId="7240" xr:uid="{D4814E8A-006B-49D5-928D-EAEF6C6A5EFF}"/>
    <cellStyle name="Comma 3 106" xfId="7241" xr:uid="{ED473B46-8DD1-4E73-B0B1-EAA4FECDCE4A}"/>
    <cellStyle name="Comma 3 107" xfId="7242" xr:uid="{11F0C7F7-8AEC-4683-AED7-C71296BDA9CD}"/>
    <cellStyle name="Comma 3 108" xfId="7243" xr:uid="{7D87BCE9-A234-455B-B590-0E5A51A64463}"/>
    <cellStyle name="Comma 3 109" xfId="7244" xr:uid="{7D7E4BEF-7273-4583-A553-1A79599EE4C3}"/>
    <cellStyle name="Comma 3 11" xfId="3206" xr:uid="{00000000-0005-0000-0000-0000C00B0000}"/>
    <cellStyle name="Comma 3 11 2" xfId="3207" xr:uid="{00000000-0005-0000-0000-0000C10B0000}"/>
    <cellStyle name="Comma 3 11 3" xfId="3208" xr:uid="{00000000-0005-0000-0000-0000C20B0000}"/>
    <cellStyle name="Comma 3 11 4" xfId="6176" xr:uid="{9114A5BB-2101-4B72-86D5-6F32285FF940}"/>
    <cellStyle name="Comma 3 11_Cash flow" xfId="7245" xr:uid="{01A5707A-0688-40F5-BDB5-065333FF5083}"/>
    <cellStyle name="Comma 3 110" xfId="7246" xr:uid="{5529B3E6-8E4A-4B1D-B308-35F07649C795}"/>
    <cellStyle name="Comma 3 111" xfId="7247" xr:uid="{7DC11DBF-9845-41B5-8ADB-AFD736526BCA}"/>
    <cellStyle name="Comma 3 112" xfId="7248" xr:uid="{088773FC-49A2-479A-B840-D7A34E5528CC}"/>
    <cellStyle name="Comma 3 113" xfId="7249" xr:uid="{9D4B8B68-5FB9-4B40-90CB-2068997A2183}"/>
    <cellStyle name="Comma 3 114" xfId="7250" xr:uid="{E4C6DF95-E62B-460D-9891-C16C00D19289}"/>
    <cellStyle name="Comma 3 115" xfId="7251" xr:uid="{3DF7C259-78E9-4D8F-9F36-4DA4D2BFF97F}"/>
    <cellStyle name="Comma 3 116" xfId="7252" xr:uid="{F1C038F1-42A7-47A6-B6E8-63F6E0CCD6A6}"/>
    <cellStyle name="Comma 3 117" xfId="7253" xr:uid="{0525B385-0C36-409B-969C-53D10F7E76CF}"/>
    <cellStyle name="Comma 3 118" xfId="7254" xr:uid="{7766F3A9-9BBC-4D9C-963D-D78E5D5176A6}"/>
    <cellStyle name="Comma 3 119" xfId="7255" xr:uid="{BA3EB705-468D-4070-8F7F-F093484915BE}"/>
    <cellStyle name="Comma 3 12" xfId="3209" xr:uid="{00000000-0005-0000-0000-0000C40B0000}"/>
    <cellStyle name="Comma 3 12 2" xfId="3210" xr:uid="{00000000-0005-0000-0000-0000C50B0000}"/>
    <cellStyle name="Comma 3 12 3" xfId="3211" xr:uid="{00000000-0005-0000-0000-0000C60B0000}"/>
    <cellStyle name="Comma 3 12_Cash flow" xfId="7256" xr:uid="{E610C015-ADE8-402C-9A56-24DB45D4D012}"/>
    <cellStyle name="Comma 3 120" xfId="7257" xr:uid="{DE2210E0-BDEE-46CA-B601-A63A8EBC5F77}"/>
    <cellStyle name="Comma 3 121" xfId="7258" xr:uid="{9BE3B319-7E61-409E-950B-5840E19E24B8}"/>
    <cellStyle name="Comma 3 122" xfId="7259" xr:uid="{C712A90C-D1F7-4DCF-8A34-27E68999AF55}"/>
    <cellStyle name="Comma 3 123" xfId="7260" xr:uid="{384526EA-E253-4FC9-833E-FAC78A32F246}"/>
    <cellStyle name="Comma 3 124" xfId="7261" xr:uid="{6AB9A261-651D-4881-8658-19C7F3EFE3C9}"/>
    <cellStyle name="Comma 3 125" xfId="7262" xr:uid="{3461E2DF-28EB-41F1-BE12-B87AAD320835}"/>
    <cellStyle name="Comma 3 126" xfId="7263" xr:uid="{A09ECADD-CB8B-45E5-BBC3-91A685FE4A95}"/>
    <cellStyle name="Comma 3 127" xfId="7264" xr:uid="{B364B0A8-FB20-4C55-BB63-B4D64A4BCA47}"/>
    <cellStyle name="Comma 3 128" xfId="7265" xr:uid="{CC5BDDE5-2011-4C5F-BA1E-A5202ECADB43}"/>
    <cellStyle name="Comma 3 129" xfId="7266" xr:uid="{7E2679A9-C930-453D-8BFB-AEE3BF5CD99A}"/>
    <cellStyle name="Comma 3 13" xfId="3212" xr:uid="{00000000-0005-0000-0000-0000C70B0000}"/>
    <cellStyle name="Comma 3 13 2" xfId="3213" xr:uid="{00000000-0005-0000-0000-0000C80B0000}"/>
    <cellStyle name="Comma 3 13 3" xfId="3214" xr:uid="{00000000-0005-0000-0000-0000C90B0000}"/>
    <cellStyle name="Comma 3 13_Cash flow" xfId="7267" xr:uid="{EFCC09BA-C2E5-461F-8901-CDFFCF3A57C2}"/>
    <cellStyle name="Comma 3 130" xfId="7268" xr:uid="{AD80FD27-8F22-4C8C-BB15-E90BB3397994}"/>
    <cellStyle name="Comma 3 131" xfId="7269" xr:uid="{DC842FD9-42C5-44B0-9FA8-4AE2B62DAC98}"/>
    <cellStyle name="Comma 3 132" xfId="7270" xr:uid="{B5D9AB6E-CDFD-414F-9A21-72983497838A}"/>
    <cellStyle name="Comma 3 133" xfId="7271" xr:uid="{BA4FA7F2-9508-4406-AB2A-C0664A9DB44D}"/>
    <cellStyle name="Comma 3 134" xfId="7272" xr:uid="{F1573227-C1B4-46B3-83AA-C6FFA60D305A}"/>
    <cellStyle name="Comma 3 135" xfId="7273" xr:uid="{67059284-16A4-4DB9-B17D-35EA8291CD22}"/>
    <cellStyle name="Comma 3 136" xfId="7274" xr:uid="{75CAAE7F-8855-488E-8AEF-174404186EC3}"/>
    <cellStyle name="Comma 3 137" xfId="7275" xr:uid="{0F5CD391-C5BD-4442-9707-24C7101A2F9B}"/>
    <cellStyle name="Comma 3 138" xfId="7276" xr:uid="{4E07C456-1E1D-4EF6-B50C-3A84EFE039AE}"/>
    <cellStyle name="Comma 3 139" xfId="7277" xr:uid="{3EAE7736-9D09-48D3-83B1-9254BB441208}"/>
    <cellStyle name="Comma 3 14" xfId="3215" xr:uid="{00000000-0005-0000-0000-0000CA0B0000}"/>
    <cellStyle name="Comma 3 14 2" xfId="3216" xr:uid="{00000000-0005-0000-0000-0000CB0B0000}"/>
    <cellStyle name="Comma 3 14 3" xfId="3217" xr:uid="{00000000-0005-0000-0000-0000CC0B0000}"/>
    <cellStyle name="Comma 3 14_Cash flow" xfId="7278" xr:uid="{D02C138A-0FAF-421A-8BC1-78BCD82DA812}"/>
    <cellStyle name="Comma 3 140" xfId="7279" xr:uid="{97D3529E-7C0C-4F6F-AD7A-7FFDCB1BCBBB}"/>
    <cellStyle name="Comma 3 141" xfId="7280" xr:uid="{8EABDAC5-5B11-4347-8ADE-BF3DD196E683}"/>
    <cellStyle name="Comma 3 142" xfId="7281" xr:uid="{0DD99802-1EA0-4657-BD90-CFC5F6676CBD}"/>
    <cellStyle name="Comma 3 143" xfId="7282" xr:uid="{9D075BCB-6B56-4792-AC3A-F19D61E90480}"/>
    <cellStyle name="Comma 3 144" xfId="7283" xr:uid="{5E35A795-B6B1-4D06-ACF6-60602C89FD1F}"/>
    <cellStyle name="Comma 3 145" xfId="7284" xr:uid="{E9A94168-CDC2-49F5-9014-5805938DE6A8}"/>
    <cellStyle name="Comma 3 146" xfId="7285" xr:uid="{7ABF11E6-70E7-41E1-8EE6-8883DE5B2711}"/>
    <cellStyle name="Comma 3 147" xfId="7286" xr:uid="{E1E8F29B-9D89-4D03-AA06-B5316BC07E19}"/>
    <cellStyle name="Comma 3 148" xfId="7287" xr:uid="{0D3DAED2-934A-43D5-8000-1E859382DB55}"/>
    <cellStyle name="Comma 3 149" xfId="7288" xr:uid="{B0C7B730-33E4-405D-A1CB-57C8E082BE6D}"/>
    <cellStyle name="Comma 3 15" xfId="3218" xr:uid="{00000000-0005-0000-0000-0000CD0B0000}"/>
    <cellStyle name="Comma 3 15 2" xfId="3219" xr:uid="{00000000-0005-0000-0000-0000CE0B0000}"/>
    <cellStyle name="Comma 3 15 3" xfId="3220" xr:uid="{00000000-0005-0000-0000-0000CF0B0000}"/>
    <cellStyle name="Comma 3 15_Cash flow" xfId="7289" xr:uid="{2C1A1924-80C0-484B-964B-06C4D6FC02B6}"/>
    <cellStyle name="Comma 3 150" xfId="7290" xr:uid="{17E68740-703D-483B-97A3-95597E5BC98C}"/>
    <cellStyle name="Comma 3 151" xfId="7291" xr:uid="{0844B313-3186-4520-B8C8-FD78E4D6211B}"/>
    <cellStyle name="Comma 3 152" xfId="7292" xr:uid="{531F7CE6-D1DB-4D4A-9FB1-C743E3752110}"/>
    <cellStyle name="Comma 3 153" xfId="7293" xr:uid="{9213430A-5D5E-468A-B90E-BC4D7AA384DE}"/>
    <cellStyle name="Comma 3 154" xfId="7294" xr:uid="{CC7AF851-B428-47CD-8A93-44A3364C8FEF}"/>
    <cellStyle name="Comma 3 155" xfId="7295" xr:uid="{83189F5B-6076-4967-8B5C-6115988531A1}"/>
    <cellStyle name="Comma 3 156" xfId="7296" xr:uid="{259F068D-589C-408B-A56D-A35050698EAE}"/>
    <cellStyle name="Comma 3 157" xfId="7297" xr:uid="{598EF1FD-E058-4BB1-B4BE-24F09238128B}"/>
    <cellStyle name="Comma 3 158" xfId="7298" xr:uid="{927D7BED-B883-4D37-8BF8-129EF5A266FE}"/>
    <cellStyle name="Comma 3 159" xfId="7299" xr:uid="{A9E8524F-B22A-4338-9FA9-A3D48065D40B}"/>
    <cellStyle name="Comma 3 16" xfId="3221" xr:uid="{00000000-0005-0000-0000-0000D00B0000}"/>
    <cellStyle name="Comma 3 16 2" xfId="3222" xr:uid="{00000000-0005-0000-0000-0000D10B0000}"/>
    <cellStyle name="Comma 3 16 3" xfId="3223" xr:uid="{00000000-0005-0000-0000-0000D20B0000}"/>
    <cellStyle name="Comma 3 16_Adjusted Bridge, ECS" xfId="11457" xr:uid="{97068E19-B871-49E0-BCC0-625A5BEEAE70}"/>
    <cellStyle name="Comma 3 160" xfId="7300" xr:uid="{AD2BAAE1-88EE-4D0D-86C4-50134D49FD2A}"/>
    <cellStyle name="Comma 3 161" xfId="7301" xr:uid="{9F7E4A77-3AB2-4181-8A14-A90015C37013}"/>
    <cellStyle name="Comma 3 162" xfId="7302" xr:uid="{49749B15-C556-4A3A-8D2A-4D423C7D5C23}"/>
    <cellStyle name="Comma 3 163" xfId="7303" xr:uid="{968708FB-8B47-4AA7-AC5B-C96A28A70F21}"/>
    <cellStyle name="Comma 3 164" xfId="7304" xr:uid="{F0C32B53-8F77-4457-9AB2-32AAF305E495}"/>
    <cellStyle name="Comma 3 165" xfId="7305" xr:uid="{7EA253F1-2314-4422-A841-D8BDFE31EF09}"/>
    <cellStyle name="Comma 3 166" xfId="7306" xr:uid="{3282FA67-AC37-434E-9D9C-08A8E035C5DA}"/>
    <cellStyle name="Comma 3 167" xfId="7307" xr:uid="{ED9E0E25-F4C4-46A9-81B4-6C63B06CE23B}"/>
    <cellStyle name="Comma 3 168" xfId="7308" xr:uid="{4E3AE85E-5984-4872-8CAF-6838287D13A6}"/>
    <cellStyle name="Comma 3 169" xfId="7309" xr:uid="{9FD1B279-D4A7-46C0-85C1-022739BB2332}"/>
    <cellStyle name="Comma 3 17" xfId="3224" xr:uid="{00000000-0005-0000-0000-0000D30B0000}"/>
    <cellStyle name="Comma 3 17 2" xfId="3225" xr:uid="{00000000-0005-0000-0000-0000D40B0000}"/>
    <cellStyle name="Comma 3 17 3" xfId="3226" xr:uid="{00000000-0005-0000-0000-0000D50B0000}"/>
    <cellStyle name="Comma 3 17_Adjusted Bridge, ECS" xfId="11458" xr:uid="{97AB484C-5DEF-417E-AB84-1F6D7586F18A}"/>
    <cellStyle name="Comma 3 170" xfId="7310" xr:uid="{A1A44193-68BA-4BF2-AB7E-2F3A77A7C6A6}"/>
    <cellStyle name="Comma 3 171" xfId="7311" xr:uid="{A9352B1A-A28B-4170-ADAB-555D164311E9}"/>
    <cellStyle name="Comma 3 172" xfId="7312" xr:uid="{2F8F320F-0F34-4BDC-B4D3-71A319AF5655}"/>
    <cellStyle name="Comma 3 173" xfId="7313" xr:uid="{24355D0E-8249-4336-B86F-E5FDD9A63328}"/>
    <cellStyle name="Comma 3 174" xfId="7314" xr:uid="{542B237D-CD61-4AA1-BC7F-44FFBBB52CF2}"/>
    <cellStyle name="Comma 3 175" xfId="7315" xr:uid="{720A7818-4BFE-40DF-91D9-57261969C49F}"/>
    <cellStyle name="Comma 3 176" xfId="7316" xr:uid="{DAC256BD-52A6-4D53-8270-3A6A1B741093}"/>
    <cellStyle name="Comma 3 177" xfId="7317" xr:uid="{8A5D0787-FB0B-4279-AC30-03FC01913257}"/>
    <cellStyle name="Comma 3 178" xfId="7318" xr:uid="{1581AACF-3695-401C-99E8-3E80285E2E54}"/>
    <cellStyle name="Comma 3 179" xfId="7319" xr:uid="{BD80F7D4-0265-4D4A-B6DA-E7818BB26D72}"/>
    <cellStyle name="Comma 3 18" xfId="3227" xr:uid="{00000000-0005-0000-0000-0000D60B0000}"/>
    <cellStyle name="Comma 3 18 2" xfId="3228" xr:uid="{00000000-0005-0000-0000-0000D70B0000}"/>
    <cellStyle name="Comma 3 18 3" xfId="3229" xr:uid="{00000000-0005-0000-0000-0000D80B0000}"/>
    <cellStyle name="Comma 3 18_Adjusted Bridge, ECS" xfId="11459" xr:uid="{9091EA18-9E40-4D6B-813C-A88DF6D20963}"/>
    <cellStyle name="Comma 3 180" xfId="7320" xr:uid="{7F2F5BBF-A135-42E9-AFEB-D9C048242696}"/>
    <cellStyle name="Comma 3 181" xfId="7321" xr:uid="{E941E53A-BDF7-47E4-BE2F-2FD2CF1EB163}"/>
    <cellStyle name="Comma 3 19" xfId="3230" xr:uid="{00000000-0005-0000-0000-0000D90B0000}"/>
    <cellStyle name="Comma 3 19 2" xfId="3231" xr:uid="{00000000-0005-0000-0000-0000DA0B0000}"/>
    <cellStyle name="Comma 3 19 3" xfId="3232" xr:uid="{00000000-0005-0000-0000-0000DB0B0000}"/>
    <cellStyle name="Comma 3 19_Adjusted Bridge, ECS" xfId="11460" xr:uid="{6C08E1BE-B179-4F7C-973B-D541B4CF471C}"/>
    <cellStyle name="Comma 3 2" xfId="199" xr:uid="{00000000-0005-0000-0000-0000DC0B0000}"/>
    <cellStyle name="Comma 3 2 10" xfId="7322" xr:uid="{570B6B47-8D83-4AB5-BD00-B86443FCFD93}"/>
    <cellStyle name="Comma 3 2 11" xfId="7323" xr:uid="{8C65A2C6-C5FD-438A-A31D-6F0CDDD3D810}"/>
    <cellStyle name="Comma 3 2 12" xfId="7324" xr:uid="{4FF8EBBF-E6F6-4281-9269-57022FCDFF7B}"/>
    <cellStyle name="Comma 3 2 13" xfId="7325" xr:uid="{53A02BFA-3C22-4F48-82B7-DF342DAFB2FF}"/>
    <cellStyle name="Comma 3 2 14" xfId="7326" xr:uid="{DCBC15E9-D755-43A9-A09A-65251B196101}"/>
    <cellStyle name="Comma 3 2 15" xfId="7327" xr:uid="{9192D02F-434A-46CB-A1EE-B55A343825F3}"/>
    <cellStyle name="Comma 3 2 16" xfId="7328" xr:uid="{2C3E743E-0D37-40F3-B2F9-CF6B0E2AB6C6}"/>
    <cellStyle name="Comma 3 2 17" xfId="7329" xr:uid="{9908A5BF-6098-4B96-A71B-BCFFEEA7ADDB}"/>
    <cellStyle name="Comma 3 2 18" xfId="7330" xr:uid="{C018B97C-3230-4446-9CE1-960E35220B33}"/>
    <cellStyle name="Comma 3 2 19" xfId="7331" xr:uid="{B8EEEE8D-5658-43D7-BDB0-A777BDF65FE2}"/>
    <cellStyle name="Comma 3 2 2" xfId="200" xr:uid="{00000000-0005-0000-0000-0000DD0B0000}"/>
    <cellStyle name="Comma 3 2 2 10" xfId="7332" xr:uid="{6F5A9BD0-7884-49F4-BE2B-0AA54AFB3935}"/>
    <cellStyle name="Comma 3 2 2 11" xfId="7333" xr:uid="{F4B9BFEA-D69A-4C1D-ACEB-E44F7D513E1C}"/>
    <cellStyle name="Comma 3 2 2 12" xfId="7334" xr:uid="{2176CF98-1DC4-48B9-8F14-4E4FF05C54FD}"/>
    <cellStyle name="Comma 3 2 2 13" xfId="7335" xr:uid="{5F525AAA-283C-40ED-BDE5-5AA8B11BA3FA}"/>
    <cellStyle name="Comma 3 2 2 14" xfId="7336" xr:uid="{30B80388-5DFD-46DA-A62E-5FD853C8E2C5}"/>
    <cellStyle name="Comma 3 2 2 15" xfId="7337" xr:uid="{F7DC2AD3-7BB9-4202-9A61-F0701C867DBD}"/>
    <cellStyle name="Comma 3 2 2 16" xfId="7338" xr:uid="{A30F0BDC-3BBC-4975-B6CA-D2B32AC3C3F0}"/>
    <cellStyle name="Comma 3 2 2 17" xfId="7339" xr:uid="{C93B3CCB-CC3A-4524-B1A0-5F22DC2AF0B0}"/>
    <cellStyle name="Comma 3 2 2 18" xfId="7340" xr:uid="{30059862-C227-48F1-B1AC-F7E2B4B8F968}"/>
    <cellStyle name="Comma 3 2 2 19" xfId="7341" xr:uid="{3EEEC2CB-BF96-469A-BB0E-6AB85FB79EA9}"/>
    <cellStyle name="Comma 3 2 2 2" xfId="3233" xr:uid="{00000000-0005-0000-0000-0000DE0B0000}"/>
    <cellStyle name="Comma 3 2 2 2 2" xfId="6177" xr:uid="{10AC5A99-758D-4E6A-86F1-4F1288D134DF}"/>
    <cellStyle name="Comma 3 2 2 2_Adjusted Bridge, ECS" xfId="11461" xr:uid="{50097F8B-7095-4DBA-AEEF-A1926EEACA56}"/>
    <cellStyle name="Comma 3 2 2 20" xfId="7342" xr:uid="{07F4277E-0AF9-4683-A955-04C23A6105D7}"/>
    <cellStyle name="Comma 3 2 2 21" xfId="7343" xr:uid="{77AADA3A-5715-4A31-B674-19704FCC6D38}"/>
    <cellStyle name="Comma 3 2 2 22" xfId="7344" xr:uid="{34A23714-AF0C-4AE6-AD22-F15A3B53016D}"/>
    <cellStyle name="Comma 3 2 2 23" xfId="7345" xr:uid="{E45A05F6-13E9-41A7-BBC6-53549836CCE7}"/>
    <cellStyle name="Comma 3 2 2 24" xfId="7346" xr:uid="{0D57BB57-FB1A-4D01-9683-AD314CAB225E}"/>
    <cellStyle name="Comma 3 2 2 25" xfId="7347" xr:uid="{D028DD1B-57B4-4906-9AE3-3741ABC4A9C7}"/>
    <cellStyle name="Comma 3 2 2 26" xfId="7348" xr:uid="{2D910D01-728C-460A-AA42-87DA8F53B883}"/>
    <cellStyle name="Comma 3 2 2 27" xfId="7349" xr:uid="{5A8DE9EA-90B5-400B-B121-C3D19E739C29}"/>
    <cellStyle name="Comma 3 2 2 28" xfId="7350" xr:uid="{5886791E-2A1B-4D58-8A59-780F76AA89F2}"/>
    <cellStyle name="Comma 3 2 2 29" xfId="7351" xr:uid="{34E8553A-12E9-4E1D-8C5C-3D86BFC415C6}"/>
    <cellStyle name="Comma 3 2 2 3" xfId="3234" xr:uid="{00000000-0005-0000-0000-0000DF0B0000}"/>
    <cellStyle name="Comma 3 2 2 3 2" xfId="6178" xr:uid="{0F98BA3D-61FE-4433-8CCF-BA913137246C}"/>
    <cellStyle name="Comma 3 2 2 3_Adjusted Bridge, ECS" xfId="11462" xr:uid="{D2EF8B9F-4EAA-4430-9264-CDC3B137D20C}"/>
    <cellStyle name="Comma 3 2 2 30" xfId="7352" xr:uid="{185406BF-C4E9-460D-AD67-AEA815AF3401}"/>
    <cellStyle name="Comma 3 2 2 31" xfId="7353" xr:uid="{6847EFDD-1AD4-48F8-AEC7-C34C83EE3330}"/>
    <cellStyle name="Comma 3 2 2 32" xfId="7354" xr:uid="{524301AE-1C50-4B74-9017-A13270ECDC56}"/>
    <cellStyle name="Comma 3 2 2 33" xfId="7355" xr:uid="{51055667-3BDB-45A2-A5AB-F820C608F2D9}"/>
    <cellStyle name="Comma 3 2 2 34" xfId="7356" xr:uid="{8D0928F9-040F-41CD-A8B7-7AB2AA0D84AE}"/>
    <cellStyle name="Comma 3 2 2 35" xfId="7357" xr:uid="{CCCDC291-8241-4311-9FE2-2A948A4B26AE}"/>
    <cellStyle name="Comma 3 2 2 36" xfId="7358" xr:uid="{2899B86A-A146-41B6-A656-FC0AB5243A03}"/>
    <cellStyle name="Comma 3 2 2 37" xfId="7359" xr:uid="{8C245667-F954-401C-B919-1839150D36B7}"/>
    <cellStyle name="Comma 3 2 2 38" xfId="7360" xr:uid="{A0557780-0C0A-4041-836E-9DE1BBA8D666}"/>
    <cellStyle name="Comma 3 2 2 39" xfId="7361" xr:uid="{D200C2E9-1A2A-4481-ABFF-3642D7C36622}"/>
    <cellStyle name="Comma 3 2 2 4" xfId="3235" xr:uid="{00000000-0005-0000-0000-0000E00B0000}"/>
    <cellStyle name="Comma 3 2 2 4 2" xfId="6179" xr:uid="{DD578159-A237-49FB-AB2A-D6A317FD98C5}"/>
    <cellStyle name="Comma 3 2 2 4_Adjusted Bridge, ECS" xfId="11463" xr:uid="{95768431-9510-4F4D-AF3F-F64D1A993C61}"/>
    <cellStyle name="Comma 3 2 2 40" xfId="7362" xr:uid="{AA3B3638-699F-45E8-8FEF-048C452D1490}"/>
    <cellStyle name="Comma 3 2 2 41" xfId="7363" xr:uid="{760CEE6D-7179-41DD-B836-1E5C40D1D5EB}"/>
    <cellStyle name="Comma 3 2 2 42" xfId="7364" xr:uid="{B26810CF-552A-405F-94E6-5ADE42BD0691}"/>
    <cellStyle name="Comma 3 2 2 43" xfId="7365" xr:uid="{3C1CF08F-CF93-4B84-93FE-B30667D32CC0}"/>
    <cellStyle name="Comma 3 2 2 44" xfId="7366" xr:uid="{9487D200-474A-449C-94CB-26D2EC52A53F}"/>
    <cellStyle name="Comma 3 2 2 45" xfId="7367" xr:uid="{DCA1750A-1CBF-4D8E-BF6B-4FE8224E4146}"/>
    <cellStyle name="Comma 3 2 2 46" xfId="7368" xr:uid="{F0BEB252-D397-40CC-8ECC-E4E659B2105F}"/>
    <cellStyle name="Comma 3 2 2 47" xfId="7369" xr:uid="{2FF74AA4-B37B-4AD8-BB3C-00BE91F0388F}"/>
    <cellStyle name="Comma 3 2 2 48" xfId="7370" xr:uid="{CBA7416F-0A3C-4DE7-87E8-34B2A4B3BA8D}"/>
    <cellStyle name="Comma 3 2 2 49" xfId="7371" xr:uid="{4D373DFC-4878-4666-A12A-2B61F305FE81}"/>
    <cellStyle name="Comma 3 2 2 5" xfId="3236" xr:uid="{00000000-0005-0000-0000-0000E10B0000}"/>
    <cellStyle name="Comma 3 2 2 5 2" xfId="6180" xr:uid="{F6FB5950-89E6-4CFB-833F-FB4956B442C1}"/>
    <cellStyle name="Comma 3 2 2 5_Adjusted Bridge, ECS" xfId="11464" xr:uid="{CA5FCF98-F772-4F95-98B7-6632CE444735}"/>
    <cellStyle name="Comma 3 2 2 50" xfId="7372" xr:uid="{76E8CF56-8FDE-46AE-8452-924EDD9F896E}"/>
    <cellStyle name="Comma 3 2 2 51" xfId="7373" xr:uid="{06B6EF66-9FDF-48A5-82D1-1D8FB1FD8C1C}"/>
    <cellStyle name="Comma 3 2 2 52" xfId="7374" xr:uid="{2CE9C542-DFE5-456E-A8D0-A3F75EB30517}"/>
    <cellStyle name="Comma 3 2 2 53" xfId="7375" xr:uid="{F48F4E34-3B35-4A2D-9B89-0AB7CC4152B9}"/>
    <cellStyle name="Comma 3 2 2 54" xfId="7376" xr:uid="{3432CA9C-DA90-466C-9D36-AF8C4050AFF6}"/>
    <cellStyle name="Comma 3 2 2 55" xfId="7377" xr:uid="{B18EE017-A308-4E8E-A663-784F2D54D7E4}"/>
    <cellStyle name="Comma 3 2 2 56" xfId="7378" xr:uid="{D8CEC79E-6C86-40DB-8E08-ED88C8ECEE74}"/>
    <cellStyle name="Comma 3 2 2 57" xfId="7379" xr:uid="{5F14ED78-55C2-48DA-B4C3-69F35EC82446}"/>
    <cellStyle name="Comma 3 2 2 58" xfId="7380" xr:uid="{54511022-A650-438F-A187-D08C63949D86}"/>
    <cellStyle name="Comma 3 2 2 59" xfId="7381" xr:uid="{98B1036A-E8E9-4E7E-B6CF-6509263CEE19}"/>
    <cellStyle name="Comma 3 2 2 6" xfId="3237" xr:uid="{00000000-0005-0000-0000-0000E20B0000}"/>
    <cellStyle name="Comma 3 2 2 6 2" xfId="6181" xr:uid="{08386CC6-4988-434C-A411-11E432CAB7D5}"/>
    <cellStyle name="Comma 3 2 2 6_Adjusted Bridge, ECS" xfId="11465" xr:uid="{F3C38F68-86CE-4F97-ADC9-184117C93F71}"/>
    <cellStyle name="Comma 3 2 2 60" xfId="7382" xr:uid="{A03582D6-B722-4B36-8E6B-5AE3AD664F8F}"/>
    <cellStyle name="Comma 3 2 2 61" xfId="7383" xr:uid="{8537E21B-6004-4458-927C-F22566ED012A}"/>
    <cellStyle name="Comma 3 2 2 62" xfId="7384" xr:uid="{9E41CE19-D478-4D5B-9CA0-BF160E75E2B7}"/>
    <cellStyle name="Comma 3 2 2 63" xfId="7385" xr:uid="{30D5CFF7-3A37-4706-8FE0-97765F41DA5A}"/>
    <cellStyle name="Comma 3 2 2 64" xfId="7386" xr:uid="{66E8B78B-BC2B-4AFE-90D6-B5EEA4D27934}"/>
    <cellStyle name="Comma 3 2 2 65" xfId="7387" xr:uid="{00750310-D25A-4530-BE7C-0A9A35DE40C1}"/>
    <cellStyle name="Comma 3 2 2 66" xfId="7388" xr:uid="{0320FF18-BA9D-4E8F-95D8-318C1E42E786}"/>
    <cellStyle name="Comma 3 2 2 67" xfId="7389" xr:uid="{760AE492-788D-4292-B009-6875DFAD6CF9}"/>
    <cellStyle name="Comma 3 2 2 68" xfId="7390" xr:uid="{B82309DB-8FEC-4D43-81F8-518F00C95CE0}"/>
    <cellStyle name="Comma 3 2 2 69" xfId="7391" xr:uid="{F17EAE8F-51AB-444E-9C08-80E0B4043562}"/>
    <cellStyle name="Comma 3 2 2 7" xfId="3238" xr:uid="{00000000-0005-0000-0000-0000E30B0000}"/>
    <cellStyle name="Comma 3 2 2 7 2" xfId="6182" xr:uid="{B52EB593-C0AE-450F-8E56-6A62CE9D1557}"/>
    <cellStyle name="Comma 3 2 2 7_Adjusted Bridge, ECS" xfId="11466" xr:uid="{DC9FCEAF-C169-4B0B-B01A-CEEEFE074F54}"/>
    <cellStyle name="Comma 3 2 2 70" xfId="7392" xr:uid="{EE92E147-8FAF-4291-B52F-BD0B9B417700}"/>
    <cellStyle name="Comma 3 2 2 71" xfId="7393" xr:uid="{92CE9F4D-00CE-49C4-867A-180BBE9842A4}"/>
    <cellStyle name="Comma 3 2 2 8" xfId="3239" xr:uid="{00000000-0005-0000-0000-0000E40B0000}"/>
    <cellStyle name="Comma 3 2 2 8 2" xfId="6183" xr:uid="{541B2633-83C3-448D-9F7B-9F2A19BBF021}"/>
    <cellStyle name="Comma 3 2 2 8_Adjusted Bridge, ECS" xfId="11467" xr:uid="{36C695A9-9D0D-41BE-8C3A-891251D04FB8}"/>
    <cellStyle name="Comma 3 2 2 9" xfId="7394" xr:uid="{94C8CE79-6D8F-4904-B371-2CA99C93AE1E}"/>
    <cellStyle name="Comma 3 2 2_Adjusted Bridge, ECS" xfId="11468" xr:uid="{C7929F22-B848-4FAA-B583-71607DF08FC3}"/>
    <cellStyle name="Comma 3 2 20" xfId="7395" xr:uid="{4E300986-1E40-485E-8664-59612B36FA3D}"/>
    <cellStyle name="Comma 3 2 21" xfId="7396" xr:uid="{F5B105FD-375A-482B-94FD-035FA0246295}"/>
    <cellStyle name="Comma 3 2 22" xfId="7397" xr:uid="{CC88E0DE-92DF-4E0F-A16A-C25849634393}"/>
    <cellStyle name="Comma 3 2 23" xfId="7398" xr:uid="{D3571273-3C8E-48FF-B41F-C05C99044606}"/>
    <cellStyle name="Comma 3 2 24" xfId="7399" xr:uid="{E699E0A3-739A-4085-B2CD-D25C67BE19AE}"/>
    <cellStyle name="Comma 3 2 25" xfId="7400" xr:uid="{F9A308CD-15F7-446F-9DC8-71F5EA36DF89}"/>
    <cellStyle name="Comma 3 2 26" xfId="7401" xr:uid="{743C037E-C25B-4101-AA3E-E8BAABF65409}"/>
    <cellStyle name="Comma 3 2 27" xfId="7402" xr:uid="{7DC9717F-2477-4C38-BC9C-713DAD7FAE09}"/>
    <cellStyle name="Comma 3 2 28" xfId="7403" xr:uid="{B843B6A2-B33A-46C8-A277-2D1BDDD5B87A}"/>
    <cellStyle name="Comma 3 2 29" xfId="7404" xr:uid="{13B34BB3-345E-4E1A-844A-6D6059423E22}"/>
    <cellStyle name="Comma 3 2 3" xfId="201" xr:uid="{00000000-0005-0000-0000-0000E60B0000}"/>
    <cellStyle name="Comma 3 2 3 2" xfId="3240" xr:uid="{00000000-0005-0000-0000-0000E70B0000}"/>
    <cellStyle name="Comma 3 2 3_Adjusted Bridge, ECS" xfId="11469" xr:uid="{5EDF8DF0-7D2A-43DF-8C97-D0A9600C6E97}"/>
    <cellStyle name="Comma 3 2 30" xfId="7405" xr:uid="{27FFEDED-1F84-46E6-A497-6A3B13A1A902}"/>
    <cellStyle name="Comma 3 2 31" xfId="7406" xr:uid="{A5AFD9F0-3F8A-4897-ADEE-1A842EE9FC10}"/>
    <cellStyle name="Comma 3 2 32" xfId="7407" xr:uid="{3721354B-098F-47C3-9B3E-15C22572D81D}"/>
    <cellStyle name="Comma 3 2 33" xfId="7408" xr:uid="{22928E79-BDE2-46CD-9583-482014F7F5E9}"/>
    <cellStyle name="Comma 3 2 34" xfId="7409" xr:uid="{455DA913-799F-4424-9880-B2C93A7E861D}"/>
    <cellStyle name="Comma 3 2 35" xfId="7410" xr:uid="{1CF98597-9B08-4CDF-BC4F-42AC3593B252}"/>
    <cellStyle name="Comma 3 2 36" xfId="7411" xr:uid="{938A6713-6502-47CF-BE98-F3B791DDC6F8}"/>
    <cellStyle name="Comma 3 2 37" xfId="7412" xr:uid="{2EB34F4E-926A-476B-80BE-BC28CCBC2360}"/>
    <cellStyle name="Comma 3 2 38" xfId="7413" xr:uid="{EB0CAB55-9FDB-4152-B208-E8200E953C1B}"/>
    <cellStyle name="Comma 3 2 39" xfId="7414" xr:uid="{065F2104-8F7E-4BA3-9E02-059B4CA88E93}"/>
    <cellStyle name="Comma 3 2 4" xfId="3241" xr:uid="{00000000-0005-0000-0000-0000E80B0000}"/>
    <cellStyle name="Comma 3 2 4 2" xfId="6184" xr:uid="{0FC8AD67-7A1B-439A-B444-C9557022E75F}"/>
    <cellStyle name="Comma 3 2 4_Adjusted Bridge, ECS" xfId="11470" xr:uid="{184C6211-A53A-4B11-A315-F86EB0D39640}"/>
    <cellStyle name="Comma 3 2 40" xfId="7415" xr:uid="{24A6680A-AA68-4AA7-8243-D5A2C93DD92F}"/>
    <cellStyle name="Comma 3 2 41" xfId="7416" xr:uid="{96505ADA-9ABB-4770-B79D-A1D38EEFBBFF}"/>
    <cellStyle name="Comma 3 2 42" xfId="7417" xr:uid="{C2F1282F-4CD1-475C-AAE1-F5FFCB319B03}"/>
    <cellStyle name="Comma 3 2 43" xfId="7418" xr:uid="{372B87C5-F6E6-4FC9-B3E7-2911BFC62AA8}"/>
    <cellStyle name="Comma 3 2 44" xfId="7419" xr:uid="{CF04F328-B607-496B-97FA-55A7EDA5ED72}"/>
    <cellStyle name="Comma 3 2 45" xfId="7420" xr:uid="{B82B6D68-9C48-41FE-A59E-6B061B88EB0B}"/>
    <cellStyle name="Comma 3 2 46" xfId="7421" xr:uid="{3E34EC6D-8B60-469B-821B-AC35893129DB}"/>
    <cellStyle name="Comma 3 2 47" xfId="7422" xr:uid="{53C78B43-FDBF-4F26-AD05-DF7A69337E94}"/>
    <cellStyle name="Comma 3 2 48" xfId="7423" xr:uid="{370F4CEA-BD5C-42E2-8933-F321B9B2F020}"/>
    <cellStyle name="Comma 3 2 49" xfId="7424" xr:uid="{0999B6AA-2E7B-4EF5-BB82-ED45017E212B}"/>
    <cellStyle name="Comma 3 2 5" xfId="3242" xr:uid="{00000000-0005-0000-0000-0000E90B0000}"/>
    <cellStyle name="Comma 3 2 5 2" xfId="6185" xr:uid="{202EFE65-4D99-4110-B71F-AF240E951A32}"/>
    <cellStyle name="Comma 3 2 5_Adjusted Bridge, ECS" xfId="11471" xr:uid="{9784EFEC-38AA-4F9F-AF0C-4775591E7667}"/>
    <cellStyle name="Comma 3 2 50" xfId="7425" xr:uid="{326A0A53-900E-40C7-984E-992CC15A77F0}"/>
    <cellStyle name="Comma 3 2 51" xfId="7426" xr:uid="{F6673CEA-B688-4162-9CB6-2B84CE9CCF08}"/>
    <cellStyle name="Comma 3 2 52" xfId="7427" xr:uid="{AD4865D2-3B2A-485C-909F-8BBD5B610901}"/>
    <cellStyle name="Comma 3 2 53" xfId="7428" xr:uid="{C7A7881C-FFC9-4889-B006-18C069BC72D4}"/>
    <cellStyle name="Comma 3 2 54" xfId="7429" xr:uid="{3D484878-82AD-4AF0-B861-7F33F55764CC}"/>
    <cellStyle name="Comma 3 2 55" xfId="7430" xr:uid="{4F76948F-BC8A-4B55-9D65-BF5A6C094B02}"/>
    <cellStyle name="Comma 3 2 56" xfId="7431" xr:uid="{5B8A775A-E3F2-401D-A25E-F5C69581466C}"/>
    <cellStyle name="Comma 3 2 57" xfId="7432" xr:uid="{234886F7-7F93-415D-A96B-DD95560711B8}"/>
    <cellStyle name="Comma 3 2 58" xfId="7433" xr:uid="{9CD8FB2B-EABB-4B94-A1D1-3FD13B2525C1}"/>
    <cellStyle name="Comma 3 2 59" xfId="7434" xr:uid="{6FC1F7C8-58AE-4DBD-A16E-87E8EA3B6B4E}"/>
    <cellStyle name="Comma 3 2 6" xfId="3243" xr:uid="{00000000-0005-0000-0000-0000EA0B0000}"/>
    <cellStyle name="Comma 3 2 6 2" xfId="6186" xr:uid="{E8168ED1-6996-47D4-A5AA-3649F621F019}"/>
    <cellStyle name="Comma 3 2 6_Adjusted Bridge, ECS" xfId="11472" xr:uid="{DCE54541-F2E0-48A5-9D72-194255E6E93C}"/>
    <cellStyle name="Comma 3 2 60" xfId="7435" xr:uid="{4FEB414C-17E7-4B4C-9425-79098D2F66E6}"/>
    <cellStyle name="Comma 3 2 61" xfId="7436" xr:uid="{E7B9D041-4FAB-4A36-92C9-CB1C53A8DB54}"/>
    <cellStyle name="Comma 3 2 62" xfId="7437" xr:uid="{1E2EC38C-5C58-4790-8798-DE17C6AC73D8}"/>
    <cellStyle name="Comma 3 2 63" xfId="7438" xr:uid="{F67418B0-40FE-4609-8F15-B07A78BCDFE5}"/>
    <cellStyle name="Comma 3 2 64" xfId="7439" xr:uid="{DBF06C52-D8D7-42F0-BD30-9BEDF3C1DB7D}"/>
    <cellStyle name="Comma 3 2 65" xfId="7440" xr:uid="{9D615892-439F-4235-8FA6-226D9EA8F6C6}"/>
    <cellStyle name="Comma 3 2 66" xfId="7441" xr:uid="{F4F2AFC3-0103-4BB1-9045-A6D6970986C2}"/>
    <cellStyle name="Comma 3 2 67" xfId="7442" xr:uid="{8F9D59D9-0A96-4611-8593-53C7B326A127}"/>
    <cellStyle name="Comma 3 2 68" xfId="7443" xr:uid="{895B2908-03CD-45E3-BBDF-ACFCCC1AD2EF}"/>
    <cellStyle name="Comma 3 2 69" xfId="7444" xr:uid="{7310E9AA-3D5A-4B0A-B90B-AC436D400651}"/>
    <cellStyle name="Comma 3 2 7" xfId="3244" xr:uid="{00000000-0005-0000-0000-0000EB0B0000}"/>
    <cellStyle name="Comma 3 2 7 2" xfId="6187" xr:uid="{55524C4D-9DB3-4B84-87F0-C28D811E7EE4}"/>
    <cellStyle name="Comma 3 2 7_Adjusted Bridge, ECS" xfId="11473" xr:uid="{B7E3688F-1645-4FF1-9FF2-694FFCD5BD66}"/>
    <cellStyle name="Comma 3 2 70" xfId="7445" xr:uid="{934B04C1-E5DC-4AAA-8B09-0856815B81F6}"/>
    <cellStyle name="Comma 3 2 71" xfId="7446" xr:uid="{D9ADA03D-CE84-4881-9755-FB9C1344570D}"/>
    <cellStyle name="Comma 3 2 8" xfId="7447" xr:uid="{C9F40200-57C8-44D0-A196-5C0ADED35D4A}"/>
    <cellStyle name="Comma 3 2 9" xfId="7448" xr:uid="{777F6559-497C-43AE-B555-AE956AF859F8}"/>
    <cellStyle name="Comma 3 2_Acq input" xfId="7449" xr:uid="{535A1F64-3E36-4F9E-A76E-C7273937EE51}"/>
    <cellStyle name="Comma 3 20" xfId="3245" xr:uid="{00000000-0005-0000-0000-0000ED0B0000}"/>
    <cellStyle name="Comma 3 20 2" xfId="3246" xr:uid="{00000000-0005-0000-0000-0000EE0B0000}"/>
    <cellStyle name="Comma 3 20 3" xfId="3247" xr:uid="{00000000-0005-0000-0000-0000EF0B0000}"/>
    <cellStyle name="Comma 3 20_Adjusted Bridge, ECS" xfId="11474" xr:uid="{A61C393E-0ABE-4972-9AC1-6783503EC0BC}"/>
    <cellStyle name="Comma 3 21" xfId="3248" xr:uid="{00000000-0005-0000-0000-0000F00B0000}"/>
    <cellStyle name="Comma 3 21 2" xfId="3249" xr:uid="{00000000-0005-0000-0000-0000F10B0000}"/>
    <cellStyle name="Comma 3 21 3" xfId="3250" xr:uid="{00000000-0005-0000-0000-0000F20B0000}"/>
    <cellStyle name="Comma 3 21_Adjusted Bridge, ECS" xfId="11475" xr:uid="{E9B54D7C-941F-46F2-90DE-7141EC39739F}"/>
    <cellStyle name="Comma 3 22" xfId="3251" xr:uid="{00000000-0005-0000-0000-0000F30B0000}"/>
    <cellStyle name="Comma 3 23" xfId="3252" xr:uid="{00000000-0005-0000-0000-0000F40B0000}"/>
    <cellStyle name="Comma 3 24" xfId="3253" xr:uid="{00000000-0005-0000-0000-0000F50B0000}"/>
    <cellStyle name="Comma 3 25" xfId="3254" xr:uid="{00000000-0005-0000-0000-0000F60B0000}"/>
    <cellStyle name="Comma 3 26" xfId="3255" xr:uid="{00000000-0005-0000-0000-0000F70B0000}"/>
    <cellStyle name="Comma 3 27" xfId="3256" xr:uid="{00000000-0005-0000-0000-0000F80B0000}"/>
    <cellStyle name="Comma 3 28" xfId="3257" xr:uid="{00000000-0005-0000-0000-0000F90B0000}"/>
    <cellStyle name="Comma 3 28 2" xfId="6188" xr:uid="{CFB05D97-9DDB-41A3-8DDD-85FA7C2920D5}"/>
    <cellStyle name="Comma 3 28_Adjusted Bridge, ECS" xfId="11476" xr:uid="{E7A2435E-996F-4CAA-8E44-055834BB4549}"/>
    <cellStyle name="Comma 3 29" xfId="3258" xr:uid="{00000000-0005-0000-0000-0000FA0B0000}"/>
    <cellStyle name="Comma 3 3" xfId="202" xr:uid="{00000000-0005-0000-0000-0000FB0B0000}"/>
    <cellStyle name="Comma 3 3 2" xfId="3259" xr:uid="{00000000-0005-0000-0000-0000FC0B0000}"/>
    <cellStyle name="Comma 3 3 3" xfId="3260" xr:uid="{00000000-0005-0000-0000-0000FD0B0000}"/>
    <cellStyle name="Comma 3 3 4" xfId="3261" xr:uid="{00000000-0005-0000-0000-0000FE0B0000}"/>
    <cellStyle name="Comma 3 3 5" xfId="3262" xr:uid="{00000000-0005-0000-0000-0000FF0B0000}"/>
    <cellStyle name="Comma 3 3 5 2" xfId="6189" xr:uid="{524599F0-2657-4E70-98E9-A0822885D812}"/>
    <cellStyle name="Comma 3 3 5_Adjusted Bridge, ECS" xfId="11477" xr:uid="{213DC917-4177-4B80-9167-B4BC670DEBC5}"/>
    <cellStyle name="Comma 3 3_Adjusted Bridge, ECS" xfId="11478" xr:uid="{7A495AE3-487E-421D-8102-46C849FE5BA5}"/>
    <cellStyle name="Comma 3 30" xfId="3263" xr:uid="{00000000-0005-0000-0000-0000010C0000}"/>
    <cellStyle name="Comma 3 31" xfId="7450" xr:uid="{3CD1CC62-CE93-44A2-9D82-D62521FA3E3C}"/>
    <cellStyle name="Comma 3 32" xfId="7451" xr:uid="{E455799E-EC23-4806-BA61-D6F44417FB12}"/>
    <cellStyle name="Comma 3 33" xfId="7452" xr:uid="{963BC97E-F702-451C-9135-1104955BF9D5}"/>
    <cellStyle name="Comma 3 34" xfId="7453" xr:uid="{C000044A-D9F4-499D-B7D4-D69345D8A0C8}"/>
    <cellStyle name="Comma 3 35" xfId="7454" xr:uid="{3B8FFB22-100F-4AF3-A373-B5E9C3D30946}"/>
    <cellStyle name="Comma 3 36" xfId="7455" xr:uid="{62529497-1E3A-49F6-83AC-28914DEDAFEF}"/>
    <cellStyle name="Comma 3 37" xfId="7456" xr:uid="{CD3CDFD8-D5E1-4823-AAF1-B6BD62D80FF2}"/>
    <cellStyle name="Comma 3 38" xfId="7457" xr:uid="{15F798BD-8A0C-494F-806A-CCAB27079963}"/>
    <cellStyle name="Comma 3 39" xfId="7458" xr:uid="{6D38CAED-EBB8-4E58-ADA9-1A77E0AFCB13}"/>
    <cellStyle name="Comma 3 4" xfId="203" xr:uid="{00000000-0005-0000-0000-0000020C0000}"/>
    <cellStyle name="Comma 3 4 2" xfId="3264" xr:uid="{00000000-0005-0000-0000-0000030C0000}"/>
    <cellStyle name="Comma 3 4 3" xfId="3265" xr:uid="{00000000-0005-0000-0000-0000040C0000}"/>
    <cellStyle name="Comma 3 4 4" xfId="3266" xr:uid="{00000000-0005-0000-0000-0000050C0000}"/>
    <cellStyle name="Comma 3 4_Adjusted Bridge, ECS" xfId="11479" xr:uid="{F0371BFD-0854-4D51-B2D7-ACDE3D1CA538}"/>
    <cellStyle name="Comma 3 40" xfId="7459" xr:uid="{7238C687-4FCD-4D12-A966-45F598FDEEFB}"/>
    <cellStyle name="Comma 3 41" xfId="7460" xr:uid="{7F9614FD-FF14-4E75-8A1F-1BA8B5F6351F}"/>
    <cellStyle name="Comma 3 42" xfId="7461" xr:uid="{2B1B9030-0DC6-4783-917C-618C4F6C68E0}"/>
    <cellStyle name="Comma 3 43" xfId="7462" xr:uid="{9DA076E5-F3B0-4ACB-8080-0F848BE0E32F}"/>
    <cellStyle name="Comma 3 44" xfId="7463" xr:uid="{7D1B8C02-D438-4CEB-998F-8ED4CF85791F}"/>
    <cellStyle name="Comma 3 45" xfId="7464" xr:uid="{A0398790-CDB7-443B-8A14-55294D70473C}"/>
    <cellStyle name="Comma 3 46" xfId="7465" xr:uid="{C00BB496-7D8C-4A00-BAB5-250957EE505F}"/>
    <cellStyle name="Comma 3 47" xfId="7466" xr:uid="{734F0BE6-FE4C-4097-A518-09FA2759B0D5}"/>
    <cellStyle name="Comma 3 48" xfId="7467" xr:uid="{991256A0-D815-4FC4-8694-6B80846C2F30}"/>
    <cellStyle name="Comma 3 49" xfId="7468" xr:uid="{D956708B-E814-434D-B82C-4DE2819B8414}"/>
    <cellStyle name="Comma 3 5" xfId="3267" xr:uid="{00000000-0005-0000-0000-0000070C0000}"/>
    <cellStyle name="Comma 3 5 2" xfId="3268" xr:uid="{00000000-0005-0000-0000-0000080C0000}"/>
    <cellStyle name="Comma 3 5 3" xfId="3269" xr:uid="{00000000-0005-0000-0000-0000090C0000}"/>
    <cellStyle name="Comma 3 5 4" xfId="3270" xr:uid="{00000000-0005-0000-0000-00000A0C0000}"/>
    <cellStyle name="Comma 3 5 5" xfId="6190" xr:uid="{1DB86684-3A09-4F52-A4F3-9EB8CD3556F6}"/>
    <cellStyle name="Comma 3 5_Adjusted Bridge, ECS" xfId="11480" xr:uid="{27894D0C-7D3E-440A-9894-A0B8A74AD91B}"/>
    <cellStyle name="Comma 3 50" xfId="7469" xr:uid="{20DF2BBC-0C2F-447E-819D-324788F2547D}"/>
    <cellStyle name="Comma 3 51" xfId="7470" xr:uid="{6ED4CFA1-9C10-4C60-87E8-13F0C8BA764A}"/>
    <cellStyle name="Comma 3 52" xfId="7471" xr:uid="{B1A44C94-231C-4F9D-BB53-24CAF64D38B2}"/>
    <cellStyle name="Comma 3 53" xfId="7472" xr:uid="{CFCB3FEC-FFF5-4DB8-B3E7-AC3B8C2F8331}"/>
    <cellStyle name="Comma 3 54" xfId="7473" xr:uid="{4E70D293-C029-4129-AC3B-770D6F4D930D}"/>
    <cellStyle name="Comma 3 55" xfId="7474" xr:uid="{6A6540B1-1B24-474E-8BAF-AEB7C64A8853}"/>
    <cellStyle name="Comma 3 56" xfId="7475" xr:uid="{6CACA1E4-F237-435B-8221-7A53F941058C}"/>
    <cellStyle name="Comma 3 57" xfId="7476" xr:uid="{451DDFC1-D777-479F-AA03-E72A2006AE4C}"/>
    <cellStyle name="Comma 3 58" xfId="7477" xr:uid="{E02FDA9C-2783-42D9-82E4-F18A0778FBB8}"/>
    <cellStyle name="Comma 3 59" xfId="7478" xr:uid="{5AFFAA04-DFDA-4F54-8DB7-2BF44C5E4AB2}"/>
    <cellStyle name="Comma 3 6" xfId="3271" xr:uid="{00000000-0005-0000-0000-00000C0C0000}"/>
    <cellStyle name="Comma 3 6 2" xfId="3272" xr:uid="{00000000-0005-0000-0000-00000D0C0000}"/>
    <cellStyle name="Comma 3 6 3" xfId="3273" xr:uid="{00000000-0005-0000-0000-00000E0C0000}"/>
    <cellStyle name="Comma 3 6 4" xfId="3274" xr:uid="{00000000-0005-0000-0000-00000F0C0000}"/>
    <cellStyle name="Comma 3 6_Adjusted Bridge, ECS" xfId="11481" xr:uid="{AE755DFC-AD30-4D22-9786-CB2AFF774FDB}"/>
    <cellStyle name="Comma 3 60" xfId="7479" xr:uid="{52B2A475-9A7F-4006-83A8-D178E39E5194}"/>
    <cellStyle name="Comma 3 61" xfId="7480" xr:uid="{609ADB07-E0DB-4E6E-9B40-52D86F0488B6}"/>
    <cellStyle name="Comma 3 62" xfId="7481" xr:uid="{4964DC1C-D708-49FD-8E7E-3A39E0739E9C}"/>
    <cellStyle name="Comma 3 63" xfId="7482" xr:uid="{306E2849-BD32-4D10-B19D-29EDE240A10E}"/>
    <cellStyle name="Comma 3 64" xfId="7483" xr:uid="{76F46E09-DBBD-4337-A336-686AA411F731}"/>
    <cellStyle name="Comma 3 65" xfId="7484" xr:uid="{66AA72AE-BAA0-4306-9A1D-4D624C031C75}"/>
    <cellStyle name="Comma 3 66" xfId="7485" xr:uid="{7D9D9AE9-C2A5-4BF2-9D4D-91521C0F5502}"/>
    <cellStyle name="Comma 3 67" xfId="7486" xr:uid="{DE3EB4D8-C7C8-4FEA-862E-E946BE1B1C33}"/>
    <cellStyle name="Comma 3 68" xfId="7487" xr:uid="{26BBD233-BBFF-4243-986D-EB8D9DC108AB}"/>
    <cellStyle name="Comma 3 69" xfId="7488" xr:uid="{FF50B049-DDA6-44EA-BF70-CF9532035A36}"/>
    <cellStyle name="Comma 3 7" xfId="3275" xr:uid="{00000000-0005-0000-0000-0000110C0000}"/>
    <cellStyle name="Comma 3 7 2" xfId="3276" xr:uid="{00000000-0005-0000-0000-0000120C0000}"/>
    <cellStyle name="Comma 3 7 3" xfId="3277" xr:uid="{00000000-0005-0000-0000-0000130C0000}"/>
    <cellStyle name="Comma 3 7 4" xfId="3278" xr:uid="{00000000-0005-0000-0000-0000140C0000}"/>
    <cellStyle name="Comma 3 7 5" xfId="6191" xr:uid="{6CDFD97A-2901-4413-BFED-43F477AB4528}"/>
    <cellStyle name="Comma 3 7_Adjusted Bridge, ECS" xfId="11482" xr:uid="{D8A5E219-C68B-4B7A-BD5E-1B2788783E59}"/>
    <cellStyle name="Comma 3 70" xfId="7489" xr:uid="{C91157F2-ACF0-43CC-BCF3-CA9C28EF73A3}"/>
    <cellStyle name="Comma 3 71" xfId="7490" xr:uid="{4A9ABBD0-EBAD-464B-9770-30E96254704C}"/>
    <cellStyle name="Comma 3 72" xfId="7491" xr:uid="{6A1982E8-ACFD-4F5F-9293-D4B97EFDB877}"/>
    <cellStyle name="Comma 3 73" xfId="7492" xr:uid="{10607BEF-D743-45BC-84B6-7C89C1E8C160}"/>
    <cellStyle name="Comma 3 74" xfId="7493" xr:uid="{66537438-4A32-4E0D-A75C-E09128F081F7}"/>
    <cellStyle name="Comma 3 75" xfId="7494" xr:uid="{A53F86FF-93C1-425D-A746-6823B13606A8}"/>
    <cellStyle name="Comma 3 76" xfId="7495" xr:uid="{EA890F55-80B9-4C70-93A1-184AA5B83959}"/>
    <cellStyle name="Comma 3 77" xfId="7496" xr:uid="{E1559E95-8A97-45A3-B12F-A4B022EE34F7}"/>
    <cellStyle name="Comma 3 78" xfId="7497" xr:uid="{CF4DE6A4-9409-4DE3-9E6B-A77B79D7B038}"/>
    <cellStyle name="Comma 3 79" xfId="7498" xr:uid="{E2128291-8CB6-40B7-8E7A-E75B446276D8}"/>
    <cellStyle name="Comma 3 8" xfId="3279" xr:uid="{00000000-0005-0000-0000-0000160C0000}"/>
    <cellStyle name="Comma 3 8 2" xfId="3280" xr:uid="{00000000-0005-0000-0000-0000170C0000}"/>
    <cellStyle name="Comma 3 8 3" xfId="3281" xr:uid="{00000000-0005-0000-0000-0000180C0000}"/>
    <cellStyle name="Comma 3 8 4" xfId="3282" xr:uid="{00000000-0005-0000-0000-0000190C0000}"/>
    <cellStyle name="Comma 3 8_Adjusted Bridge, ECS" xfId="11483" xr:uid="{9930C62E-5794-460F-8734-25D7D8EB8B38}"/>
    <cellStyle name="Comma 3 80" xfId="7499" xr:uid="{31628A88-0DBD-4BC4-8E4F-7C381BAFF55C}"/>
    <cellStyle name="Comma 3 81" xfId="7500" xr:uid="{C450A43D-6E0E-4C48-99DE-01DDF0DFA52B}"/>
    <cellStyle name="Comma 3 82" xfId="7501" xr:uid="{3CA6F34D-24AC-4C12-AE52-BB432E13E4AE}"/>
    <cellStyle name="Comma 3 83" xfId="7502" xr:uid="{371D44C4-BF45-4D57-BCB8-DA048A0E4358}"/>
    <cellStyle name="Comma 3 84" xfId="7503" xr:uid="{396177FE-0201-42A7-87CE-1323273678A1}"/>
    <cellStyle name="Comma 3 85" xfId="7504" xr:uid="{2C28A63C-A155-4CE9-B9A1-6796FDC120D3}"/>
    <cellStyle name="Comma 3 86" xfId="7505" xr:uid="{91A65922-DD17-4D66-AC7E-22CB56F56133}"/>
    <cellStyle name="Comma 3 87" xfId="7506" xr:uid="{737F4599-C975-48B1-B409-576ED055D7D5}"/>
    <cellStyle name="Comma 3 88" xfId="7507" xr:uid="{1481DF58-542B-465D-84A0-6D428C5B28E5}"/>
    <cellStyle name="Comma 3 89" xfId="7508" xr:uid="{994F3B23-A839-404E-AFE2-F3A9D62AAF16}"/>
    <cellStyle name="Comma 3 9" xfId="3283" xr:uid="{00000000-0005-0000-0000-00001B0C0000}"/>
    <cellStyle name="Comma 3 9 2" xfId="3284" xr:uid="{00000000-0005-0000-0000-00001C0C0000}"/>
    <cellStyle name="Comma 3 9 3" xfId="3285" xr:uid="{00000000-0005-0000-0000-00001D0C0000}"/>
    <cellStyle name="Comma 3 9_Adjusted Bridge, ECS" xfId="11484" xr:uid="{58C531B4-D57C-4845-87BC-B6F3E4F29FAE}"/>
    <cellStyle name="Comma 3 90" xfId="7509" xr:uid="{CFE8F6F7-7627-4B92-8277-64740D7216C0}"/>
    <cellStyle name="Comma 3 91" xfId="7510" xr:uid="{58A87BF0-BB8E-4829-B972-6B783647708C}"/>
    <cellStyle name="Comma 3 92" xfId="7511" xr:uid="{1B767911-FB47-4EDD-A7E4-B02E36847E54}"/>
    <cellStyle name="Comma 3 93" xfId="7512" xr:uid="{8493C92A-1F54-4FD7-9A07-7089B8F5C1E1}"/>
    <cellStyle name="Comma 3 94" xfId="7513" xr:uid="{5B537E12-FD2C-4B68-A7FC-F298F4C38BD5}"/>
    <cellStyle name="Comma 3 95" xfId="7514" xr:uid="{EB4766A8-A12F-41A4-A941-67803B8AF14E}"/>
    <cellStyle name="Comma 3 96" xfId="7515" xr:uid="{C41C0025-E6D1-4C3D-9C56-9F993513203B}"/>
    <cellStyle name="Comma 3 97" xfId="7516" xr:uid="{CA73EFFD-CA0D-4557-A345-FC9B3303B8EE}"/>
    <cellStyle name="Comma 3 98" xfId="7517" xr:uid="{FF795317-AC48-4EA1-A1FE-EFD7D303B4E3}"/>
    <cellStyle name="Comma 3 99" xfId="7518" xr:uid="{94F7C1ED-4F18-4837-9287-319F7A26C35B}"/>
    <cellStyle name="Comma 3_AcqBal LC" xfId="7519" xr:uid="{01E6429D-BD5A-4CA2-B061-01A8F2E22B04}"/>
    <cellStyle name="Comma 30" xfId="3286" xr:uid="{00000000-0005-0000-0000-00001F0C0000}"/>
    <cellStyle name="Comma 30 2" xfId="3287" xr:uid="{00000000-0005-0000-0000-0000200C0000}"/>
    <cellStyle name="Comma 30 2 2" xfId="6193" xr:uid="{D14E9330-1504-4992-AA0D-93948DB88210}"/>
    <cellStyle name="Comma 30 2_Adjusted Bridge, ECS" xfId="11485" xr:uid="{083D4E77-B663-4858-8B14-84D43B805586}"/>
    <cellStyle name="Comma 30 3" xfId="6192" xr:uid="{5829CE9C-D668-44A0-B052-035A55EB9394}"/>
    <cellStyle name="Comma 30_Adjusted Bridge, ECS" xfId="11486" xr:uid="{DA6187DC-A19F-4EED-BF13-3903B4AB4A1F}"/>
    <cellStyle name="Comma 31" xfId="3288" xr:uid="{00000000-0005-0000-0000-0000220C0000}"/>
    <cellStyle name="Comma 31 2" xfId="3289" xr:uid="{00000000-0005-0000-0000-0000230C0000}"/>
    <cellStyle name="Comma 31 2 2" xfId="6195" xr:uid="{63A0F5A4-53E7-4013-B817-197620533AB5}"/>
    <cellStyle name="Comma 31 2_Adjusted Bridge, ECS" xfId="11487" xr:uid="{E26D3CA0-E64C-4405-B0DE-218AF0B2A532}"/>
    <cellStyle name="Comma 31 3" xfId="6194" xr:uid="{F060CFCF-7E51-4C2D-9014-37B199F1C8DD}"/>
    <cellStyle name="Comma 31_Adjusted Bridge, ECS" xfId="11488" xr:uid="{16DDE18E-6C36-4EA4-86EC-3D449552BD5D}"/>
    <cellStyle name="Comma 32" xfId="3290" xr:uid="{00000000-0005-0000-0000-0000250C0000}"/>
    <cellStyle name="Comma 32 2" xfId="3291" xr:uid="{00000000-0005-0000-0000-0000260C0000}"/>
    <cellStyle name="Comma 32 2 2" xfId="6197" xr:uid="{64BD18B4-D531-4428-836D-62F24BB87CAC}"/>
    <cellStyle name="Comma 32 2_Adjusted Bridge, ECS" xfId="11489" xr:uid="{9665253F-4F75-4D9C-BB82-8A037BEEF63F}"/>
    <cellStyle name="Comma 32 3" xfId="6196" xr:uid="{FE359D86-1064-47E7-BC5E-CE1A75713ACA}"/>
    <cellStyle name="Comma 32_Adjusted Bridge, ECS" xfId="11490" xr:uid="{7B2B6550-8253-4EEB-BC37-44E43D1542ED}"/>
    <cellStyle name="Comma 33" xfId="3292" xr:uid="{00000000-0005-0000-0000-0000280C0000}"/>
    <cellStyle name="Comma 33 2" xfId="3293" xr:uid="{00000000-0005-0000-0000-0000290C0000}"/>
    <cellStyle name="Comma 33 2 2" xfId="6199" xr:uid="{FEBD44A7-F869-484C-9018-2F1DDCC81AA7}"/>
    <cellStyle name="Comma 33 2_Adjusted Bridge, ECS" xfId="11491" xr:uid="{C4AF30BE-CD7D-4F1A-9521-018D195D55DF}"/>
    <cellStyle name="Comma 33 3" xfId="6198" xr:uid="{1157CA01-E55D-4E47-9F0A-77A4F9770CBB}"/>
    <cellStyle name="Comma 33_Adjusted Bridge, ECS" xfId="11492" xr:uid="{6397710C-7D3E-483A-B961-A8C0669EB72A}"/>
    <cellStyle name="Comma 34" xfId="3294" xr:uid="{00000000-0005-0000-0000-00002B0C0000}"/>
    <cellStyle name="Comma 34 2" xfId="3295" xr:uid="{00000000-0005-0000-0000-00002C0C0000}"/>
    <cellStyle name="Comma 34 3" xfId="6200" xr:uid="{92A336E0-64D5-4874-B6A4-C86AD061989C}"/>
    <cellStyle name="Comma 34_Adjusted Bridge, ECS" xfId="11493" xr:uid="{1363CD11-A3CC-4D78-8927-AD1FB67F0F16}"/>
    <cellStyle name="Comma 35" xfId="3296" xr:uid="{00000000-0005-0000-0000-00002E0C0000}"/>
    <cellStyle name="Comma 35 2" xfId="3297" xr:uid="{00000000-0005-0000-0000-00002F0C0000}"/>
    <cellStyle name="Comma 35 3" xfId="6201" xr:uid="{FE8B8CA4-DE2A-4DB8-95F6-145558E0A648}"/>
    <cellStyle name="Comma 35_Adjusted Bridge, ECS" xfId="11494" xr:uid="{FBE2E90D-BC6B-4DFC-978D-F7459CBFE719}"/>
    <cellStyle name="Comma 36" xfId="3298" xr:uid="{00000000-0005-0000-0000-0000310C0000}"/>
    <cellStyle name="Comma 36 2" xfId="3299" xr:uid="{00000000-0005-0000-0000-0000320C0000}"/>
    <cellStyle name="Comma 36 3" xfId="6202" xr:uid="{55F187C2-9FC5-426F-87B7-4E3D08A85CED}"/>
    <cellStyle name="Comma 36_Adjusted Bridge, ECS" xfId="11495" xr:uid="{D9366F5B-176E-40FD-83D0-B7DCC4B83D52}"/>
    <cellStyle name="Comma 37" xfId="3300" xr:uid="{00000000-0005-0000-0000-0000340C0000}"/>
    <cellStyle name="Comma 37 2" xfId="6203" xr:uid="{AB659D23-6576-43A6-8DAB-6A18FB746721}"/>
    <cellStyle name="Comma 37_Adjusted Bridge, ECS" xfId="11496" xr:uid="{6A44A5D8-1168-4217-8768-E74B0F0CF80D}"/>
    <cellStyle name="Comma 38" xfId="3301" xr:uid="{00000000-0005-0000-0000-0000350C0000}"/>
    <cellStyle name="Comma 39" xfId="3302" xr:uid="{00000000-0005-0000-0000-0000360C0000}"/>
    <cellStyle name="Comma 39 2" xfId="6204" xr:uid="{6D9A730F-8C25-417B-A179-3EA1AB3FC50A}"/>
    <cellStyle name="Comma 39_Adjusted Bridge, ECS" xfId="11497" xr:uid="{94EC1D1A-3B32-4836-968E-5818F5D44127}"/>
    <cellStyle name="Comma 4" xfId="204" xr:uid="{00000000-0005-0000-0000-0000370C0000}"/>
    <cellStyle name="Comma 4 10" xfId="7520" xr:uid="{07058DCB-3035-4FFF-8C7C-9F6B49FCF0B4}"/>
    <cellStyle name="Comma 4 11" xfId="7521" xr:uid="{76A9EED7-F29E-4878-9EF1-99246F4F9CD9}"/>
    <cellStyle name="Comma 4 12" xfId="7522" xr:uid="{F6F058EF-3ED0-4B1C-AE0E-720F75EEF0C1}"/>
    <cellStyle name="Comma 4 13" xfId="7523" xr:uid="{C1A0AF61-E732-46B0-919A-E1B946336AFC}"/>
    <cellStyle name="Comma 4 14" xfId="7524" xr:uid="{90BAF860-4C6D-4C4B-BD48-F0D5646ADEE7}"/>
    <cellStyle name="Comma 4 15" xfId="7525" xr:uid="{66812838-8D11-407B-A100-B64FEBF5765C}"/>
    <cellStyle name="Comma 4 16" xfId="7526" xr:uid="{1E1654D2-BB0B-4ABA-AA71-DA73E1CF91C6}"/>
    <cellStyle name="Comma 4 17" xfId="7527" xr:uid="{405722C5-019B-4A29-900B-5F9C21A1979B}"/>
    <cellStyle name="Comma 4 18" xfId="7528" xr:uid="{63AD0DB8-BFB5-4D15-9D1B-D902A068ABE2}"/>
    <cellStyle name="Comma 4 19" xfId="7529" xr:uid="{A08F8D84-EF0F-4D9C-8548-6B4AED219976}"/>
    <cellStyle name="Comma 4 2" xfId="205" xr:uid="{00000000-0005-0000-0000-0000380C0000}"/>
    <cellStyle name="Comma 4 2 2" xfId="3303" xr:uid="{00000000-0005-0000-0000-0000390C0000}"/>
    <cellStyle name="Comma 4 2 2 2" xfId="6205" xr:uid="{645604DC-0BFC-4A9E-8F82-9DB6C059C54B}"/>
    <cellStyle name="Comma 4 2 2_Adjusted Bridge, ECS" xfId="11498" xr:uid="{D41FD5E8-F4EF-4D27-A704-A7AAD73A2224}"/>
    <cellStyle name="Comma 4 2 3" xfId="7530" xr:uid="{F489B66B-ABCC-43B0-8253-5DD222DF5A19}"/>
    <cellStyle name="Comma 4 2 4" xfId="7531" xr:uid="{425D99C3-EC02-441B-8D59-6FA391883D2A}"/>
    <cellStyle name="Comma 4 2_Adjusted Bridge, ECS" xfId="11499" xr:uid="{3D38EE5D-325D-4896-BAC3-C79EAE3309AE}"/>
    <cellStyle name="Comma 4 20" xfId="7532" xr:uid="{A181D4A6-DBDB-44FC-8062-369F6A4B11EF}"/>
    <cellStyle name="Comma 4 21" xfId="7533" xr:uid="{2203E861-68A3-4AAF-BB53-5B7F5F70A531}"/>
    <cellStyle name="Comma 4 22" xfId="7534" xr:uid="{AD36F0D0-1A43-463D-A89F-0C081CEFD877}"/>
    <cellStyle name="Comma 4 23" xfId="7535" xr:uid="{8F79AFC0-F531-4D01-9C4A-95270A2CCA44}"/>
    <cellStyle name="Comma 4 24" xfId="7536" xr:uid="{046FF069-3963-4116-BFDD-31AA965C8B87}"/>
    <cellStyle name="Comma 4 25" xfId="7537" xr:uid="{4EF4F99C-F67D-4457-9793-CF7C4EBFFBF2}"/>
    <cellStyle name="Comma 4 26" xfId="7538" xr:uid="{38D768E5-23BE-4032-9AFB-EF11D9D2D094}"/>
    <cellStyle name="Comma 4 27" xfId="7539" xr:uid="{D20884C2-E077-4901-9995-ECEB418D4D60}"/>
    <cellStyle name="Comma 4 3" xfId="206" xr:uid="{00000000-0005-0000-0000-00003B0C0000}"/>
    <cellStyle name="Comma 4 3 2" xfId="3304" xr:uid="{00000000-0005-0000-0000-00003C0C0000}"/>
    <cellStyle name="Comma 4 3_Adjusted Bridge, ECS" xfId="11500" xr:uid="{C6D84612-EAA5-4973-B2EA-CFBB8C09144C}"/>
    <cellStyle name="Comma 4 4" xfId="3305" xr:uid="{00000000-0005-0000-0000-00003D0C0000}"/>
    <cellStyle name="Comma 4 4 2" xfId="6206" xr:uid="{F84A8AEB-9846-482D-BD2B-D2136EA72833}"/>
    <cellStyle name="Comma 4 4_Adjusted Bridge, ECS" xfId="11501" xr:uid="{E0B601D9-93C8-4DAD-9242-C8911B45FF1B}"/>
    <cellStyle name="Comma 4 5" xfId="7540" xr:uid="{CDB17578-DA84-4CF0-933F-AE236643AA4E}"/>
    <cellStyle name="Comma 4 6" xfId="7541" xr:uid="{251128B4-F764-4304-B795-9BC2E43FADB4}"/>
    <cellStyle name="Comma 4 7" xfId="7542" xr:uid="{CF51567B-458F-4F08-A28D-E94FA4C3F89D}"/>
    <cellStyle name="Comma 4 8" xfId="7543" xr:uid="{5B3A8EDA-04F9-4DEA-9CAC-46BC777D2FDD}"/>
    <cellStyle name="Comma 4 9" xfId="7544" xr:uid="{2D6AEEEC-A940-44DD-8686-FF403D787DD2}"/>
    <cellStyle name="Comma 4_Acq input" xfId="7545" xr:uid="{7FEF1E83-7343-4BC7-8AC6-37BA95BF86EF}"/>
    <cellStyle name="Comma 40" xfId="3306" xr:uid="{00000000-0005-0000-0000-00003F0C0000}"/>
    <cellStyle name="Comma 40 2" xfId="6207" xr:uid="{EB824233-7D01-4A86-8909-641F2D2DFA61}"/>
    <cellStyle name="Comma 40_Adjusted Bridge, ECS" xfId="11502" xr:uid="{88A4C7E2-64B2-4F85-85B8-5C8460D71A0C}"/>
    <cellStyle name="Comma 41" xfId="3307" xr:uid="{00000000-0005-0000-0000-0000400C0000}"/>
    <cellStyle name="Comma 41 2" xfId="6208" xr:uid="{500001B1-BEF5-49D8-BF7B-74F239DD2BA4}"/>
    <cellStyle name="Comma 41_Adjusted Bridge, ECS" xfId="11503" xr:uid="{5BDC2ADD-DC5D-42DA-B537-F5D95298F299}"/>
    <cellStyle name="Comma 42" xfId="3308" xr:uid="{00000000-0005-0000-0000-0000410C0000}"/>
    <cellStyle name="Comma 42 2" xfId="6209" xr:uid="{D8374B63-960F-4EFC-B834-D4B6FBFB811E}"/>
    <cellStyle name="Comma 42_Adjusted Bridge, ECS" xfId="11504" xr:uid="{D23E157F-2F27-44DE-8E86-BFF219D886EC}"/>
    <cellStyle name="Comma 43" xfId="7546" xr:uid="{0F054814-D653-43CB-BF61-314EDBD5DDF7}"/>
    <cellStyle name="Comma 44" xfId="7547" xr:uid="{B536DBB5-8509-468E-9600-C8C2B343BBD7}"/>
    <cellStyle name="Comma 45" xfId="7548" xr:uid="{50A87400-5964-4AE0-9AC7-79B18EDAA945}"/>
    <cellStyle name="Comma 46" xfId="7549" xr:uid="{CA4B5CB4-6F14-457B-9CBC-4615F7216991}"/>
    <cellStyle name="Comma 47" xfId="7550" xr:uid="{2725F325-A19A-4A87-B9FD-B426205CB759}"/>
    <cellStyle name="Comma 48" xfId="7551" xr:uid="{A9361B3E-65B4-423A-BCD3-5D2EE6D84C88}"/>
    <cellStyle name="Comma 49" xfId="7552" xr:uid="{A89CF3B2-5012-4D9F-A7B0-92D377EA0AB6}"/>
    <cellStyle name="Comma 5" xfId="207" xr:uid="{00000000-0005-0000-0000-0000420C0000}"/>
    <cellStyle name="Comma 5 2" xfId="208" xr:uid="{00000000-0005-0000-0000-0000430C0000}"/>
    <cellStyle name="Comma 5 2 2" xfId="3309" xr:uid="{00000000-0005-0000-0000-0000440C0000}"/>
    <cellStyle name="Comma 5 2 2 2" xfId="3310" xr:uid="{00000000-0005-0000-0000-0000450C0000}"/>
    <cellStyle name="Comma 5 2 2 3" xfId="6210" xr:uid="{68F9DF89-9CE4-4693-A66C-AEEC66812C3D}"/>
    <cellStyle name="Comma 5 2 2_Adjusted Bridge, ECS" xfId="11505" xr:uid="{FF926A46-1864-4A53-B0BB-CB0B0CE44A49}"/>
    <cellStyle name="Comma 5 2 3" xfId="3311" xr:uid="{00000000-0005-0000-0000-0000470C0000}"/>
    <cellStyle name="Comma 5 2 3 2" xfId="6211" xr:uid="{3179C3F5-BEE6-4B6A-947C-5A5DC5DFF9E3}"/>
    <cellStyle name="Comma 5 2 3_Adjusted Bridge, ECS" xfId="11506" xr:uid="{D8E3434C-99CE-431B-94F7-A9407D20ECA9}"/>
    <cellStyle name="Comma 5 2 4" xfId="3312" xr:uid="{00000000-0005-0000-0000-0000480C0000}"/>
    <cellStyle name="Comma 5 2 4 2" xfId="6212" xr:uid="{6FB69F57-46C5-4EE3-B7D1-84E84A2726CD}"/>
    <cellStyle name="Comma 5 2 4_Adjusted Bridge, ECS" xfId="11507" xr:uid="{3B8B4EA3-6EB1-4E02-8880-01B13997CD56}"/>
    <cellStyle name="Comma 5 2_Adjusted Bridge, ECS" xfId="11508" xr:uid="{7F906C45-786F-4181-8E81-A1D44400199F}"/>
    <cellStyle name="Comma 5 3" xfId="209" xr:uid="{00000000-0005-0000-0000-00004A0C0000}"/>
    <cellStyle name="Comma 5 3 2" xfId="3313" xr:uid="{00000000-0005-0000-0000-00004B0C0000}"/>
    <cellStyle name="Comma 5 3_Adjusted Bridge, ECS" xfId="11509" xr:uid="{42E33FCE-6746-48CF-891F-4DE3879B4E28}"/>
    <cellStyle name="Comma 5 4" xfId="3314" xr:uid="{00000000-0005-0000-0000-00004C0C0000}"/>
    <cellStyle name="Comma 5 5" xfId="3315" xr:uid="{00000000-0005-0000-0000-00004D0C0000}"/>
    <cellStyle name="Comma 5_Adjusted Bridge, ECS" xfId="11510" xr:uid="{5A42B59E-6B3F-4150-B94B-6989A876A428}"/>
    <cellStyle name="Comma 50" xfId="7553" xr:uid="{20AF8735-DA90-4728-B65E-211CF1CB4F51}"/>
    <cellStyle name="Comma 51" xfId="7554" xr:uid="{0597BF70-FB24-4848-B1A9-93D7AA842504}"/>
    <cellStyle name="Comma 51 2" xfId="7555" xr:uid="{2091F684-375B-47DA-8783-65E786840AF6}"/>
    <cellStyle name="Comma 51 3" xfId="7556" xr:uid="{7A5DA196-FEEA-40B5-898F-AE27BCAA90CF}"/>
    <cellStyle name="Comma 51 4" xfId="7557" xr:uid="{1EEA21A6-7FE8-4BE9-A66F-7ACD410DC520}"/>
    <cellStyle name="Comma 51_Adjusted bridges" xfId="11511" xr:uid="{33B33945-61CD-44E1-984D-6CA335E8BDC6}"/>
    <cellStyle name="Comma 52" xfId="7558" xr:uid="{F16021B5-2473-48D9-B931-8BC453C84216}"/>
    <cellStyle name="Comma 52 2" xfId="7559" xr:uid="{DACBCE12-84EE-4A27-ACB2-4AAD7F880EF0}"/>
    <cellStyle name="Comma 52 3" xfId="7560" xr:uid="{66BC1F5A-6D25-4E07-9BA3-00FC41416506}"/>
    <cellStyle name="Comma 52 4" xfId="7561" xr:uid="{AF7B1B88-70D3-4037-9299-62F5A0D5C543}"/>
    <cellStyle name="Comma 52_Adjusted bridges" xfId="11512" xr:uid="{91F961A2-140D-4924-ACE5-21A8EF6C29BE}"/>
    <cellStyle name="Comma 53" xfId="7562" xr:uid="{297AA458-0D7F-4046-BEF6-D8CED43C0264}"/>
    <cellStyle name="Comma 54" xfId="7563" xr:uid="{EE4DB215-E25D-4C09-A05E-329215F126F8}"/>
    <cellStyle name="Comma 56" xfId="7564" xr:uid="{306C0043-049B-43DA-9CD7-6D04D14076FB}"/>
    <cellStyle name="Comma 59" xfId="7565" xr:uid="{E42C8C6E-C6E2-4A44-9874-6A378E42905C}"/>
    <cellStyle name="Comma 6" xfId="210" xr:uid="{00000000-0005-0000-0000-00004F0C0000}"/>
    <cellStyle name="Comma 6 2" xfId="211" xr:uid="{00000000-0005-0000-0000-0000500C0000}"/>
    <cellStyle name="Comma 6 2 2" xfId="3316" xr:uid="{00000000-0005-0000-0000-0000510C0000}"/>
    <cellStyle name="Comma 6 2_Adjusted Bridge, ECS" xfId="11513" xr:uid="{23F2B26F-3FFE-4205-97E2-D7129B4D65AB}"/>
    <cellStyle name="Comma 6 3" xfId="212" xr:uid="{00000000-0005-0000-0000-0000520C0000}"/>
    <cellStyle name="Comma 6 3 2" xfId="3317" xr:uid="{00000000-0005-0000-0000-0000530C0000}"/>
    <cellStyle name="Comma 6 3_Adjusted Bridge, ECS" xfId="11514" xr:uid="{D9AEFA54-899A-4231-A631-0DB5E8852431}"/>
    <cellStyle name="Comma 6 4" xfId="3318" xr:uid="{00000000-0005-0000-0000-0000540C0000}"/>
    <cellStyle name="Comma 6_Adjusted Bridge, ECS" xfId="11515" xr:uid="{71E39061-ECF6-48E2-8B4E-AD9969EBC287}"/>
    <cellStyle name="Comma 7" xfId="213" xr:uid="{00000000-0005-0000-0000-0000560C0000}"/>
    <cellStyle name="Comma 7 2" xfId="214" xr:uid="{00000000-0005-0000-0000-0000570C0000}"/>
    <cellStyle name="Comma 7 2 2" xfId="3319" xr:uid="{00000000-0005-0000-0000-0000580C0000}"/>
    <cellStyle name="Comma 7 2 2 2" xfId="6213" xr:uid="{EB2229F1-F9B5-4567-BEB0-E7EA54767F6B}"/>
    <cellStyle name="Comma 7 2 2_Adjusted Bridge, ECS" xfId="11516" xr:uid="{CD946F69-FB9B-4134-87EB-693440884576}"/>
    <cellStyle name="Comma 7 2_Adjusted Bridge, ECS" xfId="11517" xr:uid="{243684C7-ACE9-4BFE-A27F-2FD47EDF6314}"/>
    <cellStyle name="Comma 7 3" xfId="215" xr:uid="{00000000-0005-0000-0000-00005A0C0000}"/>
    <cellStyle name="Comma 7 3 2" xfId="3320" xr:uid="{00000000-0005-0000-0000-00005B0C0000}"/>
    <cellStyle name="Comma 7 3_Adjusted Bridge, ECS" xfId="11518" xr:uid="{EFE2E7D1-D02F-4DD0-8923-65BD4A4476C4}"/>
    <cellStyle name="Comma 7 4" xfId="3321" xr:uid="{00000000-0005-0000-0000-00005C0C0000}"/>
    <cellStyle name="Comma 7_Adjusted Bridge, ECS" xfId="11519" xr:uid="{D84652A5-45D9-4103-ABF0-44FF11FB6C71}"/>
    <cellStyle name="Comma 8" xfId="216" xr:uid="{00000000-0005-0000-0000-00005E0C0000}"/>
    <cellStyle name="Comma 8 2" xfId="217" xr:uid="{00000000-0005-0000-0000-00005F0C0000}"/>
    <cellStyle name="Comma 8 2 2" xfId="3322" xr:uid="{00000000-0005-0000-0000-0000600C0000}"/>
    <cellStyle name="Comma 8 2 2 2" xfId="6214" xr:uid="{E1CE27E2-1A5D-4D70-A011-C2512D6BB1E2}"/>
    <cellStyle name="Comma 8 2 2_Adjusted Bridge, ECS" xfId="11520" xr:uid="{FDCF0966-4C4B-4A6B-A075-29A11AE0AFC7}"/>
    <cellStyle name="Comma 8 2_Adjusted Bridge, ECS" xfId="11521" xr:uid="{5F8C7A8B-1756-493C-B6C5-2FAEBC3A197B}"/>
    <cellStyle name="Comma 8 3" xfId="218" xr:uid="{00000000-0005-0000-0000-0000620C0000}"/>
    <cellStyle name="Comma 8 3 2" xfId="3323" xr:uid="{00000000-0005-0000-0000-0000630C0000}"/>
    <cellStyle name="Comma 8 3_Adjusted Bridge, ECS" xfId="11522" xr:uid="{C8950C45-B240-4A77-AEE6-D8831B059BA3}"/>
    <cellStyle name="Comma 8 4" xfId="3324" xr:uid="{00000000-0005-0000-0000-0000640C0000}"/>
    <cellStyle name="Comma 8_Adjusted Bridge, ECS" xfId="11523" xr:uid="{D05C45EA-CAB4-40A2-AB1D-C316428F2FC4}"/>
    <cellStyle name="Comma 9" xfId="219" xr:uid="{00000000-0005-0000-0000-0000660C0000}"/>
    <cellStyle name="Comma 9 2" xfId="220" xr:uid="{00000000-0005-0000-0000-0000670C0000}"/>
    <cellStyle name="Comma 9 2 2" xfId="3325" xr:uid="{00000000-0005-0000-0000-0000680C0000}"/>
    <cellStyle name="Comma 9 2 2 2" xfId="7566" xr:uid="{DFE17DA7-133C-42E3-BCF4-753CEF27685D}"/>
    <cellStyle name="Comma 9 2 2 2 2" xfId="7567" xr:uid="{F9465CA2-7012-4C43-AF4E-3CDB692D80AF}"/>
    <cellStyle name="Comma 9 2 2 2 2 2" xfId="7568" xr:uid="{9825BD6E-1AD1-4E51-AE4F-EE992CC94F58}"/>
    <cellStyle name="Comma 9 2 2 2 2 2 2" xfId="7569" xr:uid="{9BBE76A0-C31D-4709-8A20-D1157E3EA57B}"/>
    <cellStyle name="Comma 9 2 2 2 2 2_Adjusted bridges" xfId="11526" xr:uid="{A2F1335B-BA92-4F3E-8F84-23E356EF74DE}"/>
    <cellStyle name="Comma 9 2 2 2 2 3" xfId="7570" xr:uid="{7FF3E08F-B7CF-4A32-A20D-510BBE0D580F}"/>
    <cellStyle name="Comma 9 2 2 2 2_Adjusted bridges" xfId="11525" xr:uid="{5D8147F4-5D8C-4000-8B28-57B341307FCA}"/>
    <cellStyle name="Comma 9 2 2 2 3" xfId="7571" xr:uid="{512A299D-1CAC-4632-92F4-74CBE26B108C}"/>
    <cellStyle name="Comma 9 2 2 2 3 2" xfId="7572" xr:uid="{0F632AA6-09AD-43EA-BFC6-B766F7A2E15A}"/>
    <cellStyle name="Comma 9 2 2 2 3_Adjusted bridges" xfId="11527" xr:uid="{BFF7C89D-D333-48C4-9852-86014432E2E9}"/>
    <cellStyle name="Comma 9 2 2 2 4" xfId="7573" xr:uid="{0CB91069-2A24-4BBE-8051-785D81E99C87}"/>
    <cellStyle name="Comma 9 2 2 2_Adjusted bridges" xfId="11524" xr:uid="{76442FD1-E340-4E40-A71D-02A9E5A225F5}"/>
    <cellStyle name="Comma 9 2 2 3" xfId="7574" xr:uid="{6240DC46-D0A4-46C9-B80B-09E73C4ABDE7}"/>
    <cellStyle name="Comma 9 2 2 3 2" xfId="7575" xr:uid="{044A3444-947D-4FAD-B7FD-84AD2082A6FA}"/>
    <cellStyle name="Comma 9 2 2 3 2 2" xfId="7576" xr:uid="{292E82BF-0040-44BD-B939-B79185AAD12D}"/>
    <cellStyle name="Comma 9 2 2 3 2_Adjusted bridges" xfId="11529" xr:uid="{3014A453-FD32-4628-A794-E1E5FAD9141E}"/>
    <cellStyle name="Comma 9 2 2 3 3" xfId="7577" xr:uid="{543D413F-60D1-4508-818D-28E80E488656}"/>
    <cellStyle name="Comma 9 2 2 3_Adjusted bridges" xfId="11528" xr:uid="{CE5E3CB5-E91A-40FF-ABE7-3319991A91A3}"/>
    <cellStyle name="Comma 9 2 2 4" xfId="7578" xr:uid="{CE187BD5-95A3-4EA8-8E80-9050DCCEA724}"/>
    <cellStyle name="Comma 9 2 2 4 2" xfId="7579" xr:uid="{25632005-3A1B-46F5-808C-106D9108B15A}"/>
    <cellStyle name="Comma 9 2 2 4_Adjusted bridges" xfId="11530" xr:uid="{78E40816-0335-44DD-A3B9-8E14A71DDC73}"/>
    <cellStyle name="Comma 9 2 2 5" xfId="7580" xr:uid="{DF2D1475-F53D-47A5-B122-B32AAC209EF9}"/>
    <cellStyle name="Comma 9 2 2_Adjusted Bridge, ECS" xfId="11531" xr:uid="{58252518-3628-4502-A99B-9F168621EAA0}"/>
    <cellStyle name="Comma 9 2 3" xfId="7581" xr:uid="{AB67C015-48A7-4C53-9028-52A8C8463B41}"/>
    <cellStyle name="Comma 9 2 3 2" xfId="7582" xr:uid="{C1DFA6FB-C33F-41EE-89C6-36147F2575B9}"/>
    <cellStyle name="Comma 9 2 3 2 2" xfId="7583" xr:uid="{D477CB32-4681-4D93-86AE-D459F8800D23}"/>
    <cellStyle name="Comma 9 2 3 2 2 2" xfId="7584" xr:uid="{64C53CBF-965A-4BC8-A2FA-A5A3406ABCB6}"/>
    <cellStyle name="Comma 9 2 3 2 2_Adjusted bridges" xfId="11534" xr:uid="{9A84FD17-C063-4E4D-8EED-18000512806C}"/>
    <cellStyle name="Comma 9 2 3 2 3" xfId="7585" xr:uid="{6BDD57AC-48FA-432A-9494-690B7095AE25}"/>
    <cellStyle name="Comma 9 2 3 2_Adjusted bridges" xfId="11533" xr:uid="{B9EA46FC-36A7-4084-9A73-6D485DB8DDD6}"/>
    <cellStyle name="Comma 9 2 3 3" xfId="7586" xr:uid="{72640332-782D-483B-8A12-83987E912A29}"/>
    <cellStyle name="Comma 9 2 3 3 2" xfId="7587" xr:uid="{C1A91B97-F5FE-4630-B02D-6AB5981776DA}"/>
    <cellStyle name="Comma 9 2 3 3_Adjusted bridges" xfId="11535" xr:uid="{4E99BE43-416D-4430-A7EC-A0F7D7A94EC0}"/>
    <cellStyle name="Comma 9 2 3 4" xfId="7588" xr:uid="{53A87479-4AC1-4277-AF23-4623C66CA7E0}"/>
    <cellStyle name="Comma 9 2 3_Adjusted bridges" xfId="11532" xr:uid="{AC29F3EC-0E65-4CB9-BE90-9AA3136BA8E3}"/>
    <cellStyle name="Comma 9 2 4" xfId="7589" xr:uid="{6495EA4C-453D-444C-BBE1-9963EC583A47}"/>
    <cellStyle name="Comma 9 2 4 2" xfId="7590" xr:uid="{43B466A2-BE09-4C41-9F36-5F4D8A501E12}"/>
    <cellStyle name="Comma 9 2 4 2 2" xfId="7591" xr:uid="{EE207636-2363-4C94-89B7-1A785CDE9F3A}"/>
    <cellStyle name="Comma 9 2 4 2_Adjusted bridges" xfId="11537" xr:uid="{7C589F39-D197-43F9-9DF9-4B383469F880}"/>
    <cellStyle name="Comma 9 2 4 3" xfId="7592" xr:uid="{F2D2F5CC-DA1D-4775-B27C-5B18A19114BE}"/>
    <cellStyle name="Comma 9 2 4_Adjusted bridges" xfId="11536" xr:uid="{BE2EBE71-DDE1-491E-88A1-1C75883A05A7}"/>
    <cellStyle name="Comma 9 2 5" xfId="7593" xr:uid="{1E6D02AB-01B2-41B2-950A-106AE43BA3DD}"/>
    <cellStyle name="Comma 9 2 5 2" xfId="7594" xr:uid="{0F99B81B-6238-4C90-90CE-B2C37CBD7668}"/>
    <cellStyle name="Comma 9 2 5_Adjusted bridges" xfId="11538" xr:uid="{DE535B36-212D-4B75-99AA-F3992E7DE1FF}"/>
    <cellStyle name="Comma 9 2 6" xfId="7595" xr:uid="{FC81E85D-B263-44C0-B5C2-2F3DC6E248C5}"/>
    <cellStyle name="Comma 9 2_Adjusted Bridge, ECS" xfId="11539" xr:uid="{6A55248A-A63D-4EF2-A2A5-ADA1135E60A1}"/>
    <cellStyle name="Comma 9 3" xfId="221" xr:uid="{00000000-0005-0000-0000-0000690C0000}"/>
    <cellStyle name="Comma 9 3 2" xfId="3326" xr:uid="{00000000-0005-0000-0000-00006A0C0000}"/>
    <cellStyle name="Comma 9 3 2 2" xfId="7596" xr:uid="{3A6D4ABD-B531-4499-99D4-E29C81A66D09}"/>
    <cellStyle name="Comma 9 3 2 2 2" xfId="7597" xr:uid="{C7556AC3-9C19-4B23-93B8-098B2015B83C}"/>
    <cellStyle name="Comma 9 3 2 2 2 2" xfId="7598" xr:uid="{446F0251-2000-4E32-946B-5FD687502974}"/>
    <cellStyle name="Comma 9 3 2 2 2 2 2" xfId="7599" xr:uid="{2305044D-832E-452A-9530-DFE664B7C923}"/>
    <cellStyle name="Comma 9 3 2 2 2 2_Adjusted bridges" xfId="11542" xr:uid="{3DD09ED9-4549-427C-AF58-F4DD78884E35}"/>
    <cellStyle name="Comma 9 3 2 2 2 3" xfId="7600" xr:uid="{769D3081-070E-4A41-869C-1E8C988464F7}"/>
    <cellStyle name="Comma 9 3 2 2 2_Adjusted bridges" xfId="11541" xr:uid="{1CBA1F4E-4D6A-47A5-8FE0-93C69299B800}"/>
    <cellStyle name="Comma 9 3 2 2 3" xfId="7601" xr:uid="{1D4E61C1-C5DD-484C-B611-5A2E9348A1D6}"/>
    <cellStyle name="Comma 9 3 2 2 3 2" xfId="7602" xr:uid="{B62D76E4-80D0-4C25-AF95-E2184ABF2C39}"/>
    <cellStyle name="Comma 9 3 2 2 3_Adjusted bridges" xfId="11543" xr:uid="{73C76ECB-9AC8-4187-BED9-3F3F13C1ABE0}"/>
    <cellStyle name="Comma 9 3 2 2 4" xfId="7603" xr:uid="{3F49869B-3C33-401E-91A9-532DE8632B53}"/>
    <cellStyle name="Comma 9 3 2 2_Adjusted bridges" xfId="11540" xr:uid="{248DD139-0A90-4E26-97C3-6277754DFAD2}"/>
    <cellStyle name="Comma 9 3 2 3" xfId="7604" xr:uid="{5C9A34ED-E2E5-4951-89D0-D0DB233DF645}"/>
    <cellStyle name="Comma 9 3 2 3 2" xfId="7605" xr:uid="{CEA05027-9B84-480D-A772-D99780BB478E}"/>
    <cellStyle name="Comma 9 3 2 3 2 2" xfId="7606" xr:uid="{00E6296C-0610-4F80-95F4-1C2B738F722B}"/>
    <cellStyle name="Comma 9 3 2 3 2_Adjusted bridges" xfId="11545" xr:uid="{1C049729-F218-4953-9318-6BD0FA17963D}"/>
    <cellStyle name="Comma 9 3 2 3 3" xfId="7607" xr:uid="{07C91B69-1CE4-4F91-8C23-059309981F95}"/>
    <cellStyle name="Comma 9 3 2 3_Adjusted bridges" xfId="11544" xr:uid="{4085B814-65F8-4817-A5C0-AF582901ABBF}"/>
    <cellStyle name="Comma 9 3 2 4" xfId="7608" xr:uid="{C03BD029-B44C-4F0A-841D-526409B4D472}"/>
    <cellStyle name="Comma 9 3 2 4 2" xfId="7609" xr:uid="{4FDA2707-BE68-4B03-89C6-2046B5A62BED}"/>
    <cellStyle name="Comma 9 3 2 4_Adjusted bridges" xfId="11546" xr:uid="{A6F31AB7-5027-43AD-9DC9-DC79FFC17A72}"/>
    <cellStyle name="Comma 9 3 2 5" xfId="7610" xr:uid="{25869BDF-93BE-4E04-980F-61A033A7A92B}"/>
    <cellStyle name="Comma 9 3 2_Adjusted Bridge, ECS" xfId="11547" xr:uid="{7E94073A-7E21-41C8-B063-F6317F7D1F95}"/>
    <cellStyle name="Comma 9 3 3" xfId="7611" xr:uid="{460566D0-5963-4727-AE2D-70F36C1CD303}"/>
    <cellStyle name="Comma 9 3 3 2" xfId="7612" xr:uid="{BEFFDE70-A50C-4F34-AA31-3C9F7A899E26}"/>
    <cellStyle name="Comma 9 3 3 2 2" xfId="7613" xr:uid="{FEC0D3E2-9A4D-47D6-829E-483134445D65}"/>
    <cellStyle name="Comma 9 3 3 2 2 2" xfId="7614" xr:uid="{18A8017F-97FB-4048-9F4F-7DCDF39135C1}"/>
    <cellStyle name="Comma 9 3 3 2 2_Adjusted bridges" xfId="11550" xr:uid="{EEBAEF57-AD60-4791-85BD-5166DACDBB9B}"/>
    <cellStyle name="Comma 9 3 3 2 3" xfId="7615" xr:uid="{3792BDFE-1254-4D4A-8A5D-100A647168C4}"/>
    <cellStyle name="Comma 9 3 3 2_Adjusted bridges" xfId="11549" xr:uid="{0E2B474B-3A8A-480B-BCE4-BEE27FD79FC3}"/>
    <cellStyle name="Comma 9 3 3 3" xfId="7616" xr:uid="{4B199084-D242-49B3-9366-15AC313172E9}"/>
    <cellStyle name="Comma 9 3 3 3 2" xfId="7617" xr:uid="{C4A09902-7A04-4F2E-B992-533E691CD052}"/>
    <cellStyle name="Comma 9 3 3 3_Adjusted bridges" xfId="11551" xr:uid="{F9816871-44E0-4740-93CF-8DA5E6EDDE0C}"/>
    <cellStyle name="Comma 9 3 3 4" xfId="7618" xr:uid="{D034690C-65E9-4027-ADBE-DD9D7127AC4B}"/>
    <cellStyle name="Comma 9 3 3_Adjusted bridges" xfId="11548" xr:uid="{E1959165-8481-4101-A4E2-5308586FEBB7}"/>
    <cellStyle name="Comma 9 3 4" xfId="7619" xr:uid="{0C6B238C-192E-44C4-8DE0-6F6A0CD40899}"/>
    <cellStyle name="Comma 9 3 4 2" xfId="7620" xr:uid="{A63877FB-C6D4-4553-A917-3BC0B6225F69}"/>
    <cellStyle name="Comma 9 3 4 2 2" xfId="7621" xr:uid="{2B0EDA48-8EC9-4091-9494-05AFF501A0F8}"/>
    <cellStyle name="Comma 9 3 4 2_Adjusted bridges" xfId="11553" xr:uid="{DEAD4E81-010D-40D2-A3F7-DCDA533883DA}"/>
    <cellStyle name="Comma 9 3 4 3" xfId="7622" xr:uid="{8A9041EF-8C2C-4A2F-A5AA-D108F7EE32DC}"/>
    <cellStyle name="Comma 9 3 4_Adjusted bridges" xfId="11552" xr:uid="{51E36BEC-A7C9-491E-B52C-ADFF99A20B51}"/>
    <cellStyle name="Comma 9 3 5" xfId="7623" xr:uid="{24AE7719-4964-43E9-9B5E-742F4049FB00}"/>
    <cellStyle name="Comma 9 3 5 2" xfId="7624" xr:uid="{0C691C8D-36FD-4E3F-9D20-0E3E592446B8}"/>
    <cellStyle name="Comma 9 3 5_Adjusted bridges" xfId="11554" xr:uid="{2BA7D74A-4938-4313-8A45-77BA12C02005}"/>
    <cellStyle name="Comma 9 3 6" xfId="7625" xr:uid="{99E65789-215A-46ED-AA03-5925B274ED01}"/>
    <cellStyle name="Comma 9 3_Adjusted Bridge, ECS" xfId="11555" xr:uid="{9E354C01-8330-487C-A5A0-AADFAD1E8FB2}"/>
    <cellStyle name="Comma 9 4" xfId="3327" xr:uid="{00000000-0005-0000-0000-00006B0C0000}"/>
    <cellStyle name="Comma 9 4 2" xfId="7626" xr:uid="{83294087-AA33-4540-B16A-C4556519001F}"/>
    <cellStyle name="Comma 9 4 2 2" xfId="7627" xr:uid="{75DC7F14-2D90-4ECB-837C-5B0E954998E7}"/>
    <cellStyle name="Comma 9 4 2 2 2" xfId="7628" xr:uid="{3AD024CD-2CC6-4639-82DD-E638D81623D8}"/>
    <cellStyle name="Comma 9 4 2 2 2 2" xfId="7629" xr:uid="{2130CDA1-ADC8-4C69-9F7D-B23EA946B64F}"/>
    <cellStyle name="Comma 9 4 2 2 2_Adjusted bridges" xfId="11558" xr:uid="{E01A08BD-8DD0-4D51-93AC-EB88F66602EE}"/>
    <cellStyle name="Comma 9 4 2 2 3" xfId="7630" xr:uid="{7F53A12D-F3B9-4547-A397-F4A9E7F67E9A}"/>
    <cellStyle name="Comma 9 4 2 2_Adjusted bridges" xfId="11557" xr:uid="{C87DC9C4-D3C5-4F65-868B-4D1022C294F6}"/>
    <cellStyle name="Comma 9 4 2 3" xfId="7631" xr:uid="{68D94413-D2BC-4C00-B349-FE7845DD86B8}"/>
    <cellStyle name="Comma 9 4 2 3 2" xfId="7632" xr:uid="{D6B99213-89BB-49A7-94E3-02C6AB18A084}"/>
    <cellStyle name="Comma 9 4 2 3_Adjusted bridges" xfId="11559" xr:uid="{D7F79B46-94BF-4B38-9267-CE747F2FE47E}"/>
    <cellStyle name="Comma 9 4 2 4" xfId="7633" xr:uid="{21F33288-354E-4D09-8ACB-CF1B510D603F}"/>
    <cellStyle name="Comma 9 4 2_Adjusted bridges" xfId="11556" xr:uid="{AD692DCB-F3EB-4CC2-A00C-5A74001E314A}"/>
    <cellStyle name="Comma 9 4 3" xfId="7634" xr:uid="{E8369CB1-3DAC-42D8-A912-BF8E9B6F0AB0}"/>
    <cellStyle name="Comma 9 4 3 2" xfId="7635" xr:uid="{1391212A-99D2-4232-97D8-697C8981D8ED}"/>
    <cellStyle name="Comma 9 4 3 2 2" xfId="7636" xr:uid="{5ED06291-1C15-479F-AC20-43DE6508486E}"/>
    <cellStyle name="Comma 9 4 3 2_Adjusted bridges" xfId="11561" xr:uid="{23AC4230-3BDC-4133-BEC9-1476A998734E}"/>
    <cellStyle name="Comma 9 4 3 3" xfId="7637" xr:uid="{BB1C671E-FFE8-4BFB-BFFA-5F5BFEC3792E}"/>
    <cellStyle name="Comma 9 4 3_Adjusted bridges" xfId="11560" xr:uid="{9A56527B-8915-4AEF-B35A-2D843DBFEACB}"/>
    <cellStyle name="Comma 9 4 4" xfId="7638" xr:uid="{36B43B7F-F523-4A6C-8C7F-06E4DDCBC7FF}"/>
    <cellStyle name="Comma 9 4 4 2" xfId="7639" xr:uid="{ACF4B05C-6E5D-4766-9A40-F8B19245691F}"/>
    <cellStyle name="Comma 9 4 4_Adjusted bridges" xfId="11562" xr:uid="{CB558CEC-2C2F-4440-AAA3-AA2DC1CB57A0}"/>
    <cellStyle name="Comma 9 4 5" xfId="7640" xr:uid="{33DEC3BD-0C1B-4750-AB73-4B1571E50D3F}"/>
    <cellStyle name="Comma 9 4_Adjusted Bridge, ECS" xfId="11563" xr:uid="{52C51BE3-608E-4F6B-A693-55988CC6CDA5}"/>
    <cellStyle name="Comma 9 5" xfId="7641" xr:uid="{F814C445-1122-492D-99D2-B3EB221C9006}"/>
    <cellStyle name="Comma 9 5 2" xfId="7642" xr:uid="{A4819F56-ED6F-44A9-8781-8363FFFBA1C7}"/>
    <cellStyle name="Comma 9 5 2 2" xfId="7643" xr:uid="{906E7ACF-E2DB-4638-9503-331DED4CA2A5}"/>
    <cellStyle name="Comma 9 5 2 2 2" xfId="7644" xr:uid="{490634FD-A0F0-4A22-9C42-B06A08C3828C}"/>
    <cellStyle name="Comma 9 5 2 2_Adjusted bridges" xfId="11566" xr:uid="{55E716F2-CCEA-4BA4-B6D4-7B8F09A059BD}"/>
    <cellStyle name="Comma 9 5 2 3" xfId="7645" xr:uid="{5B6BADEE-D04C-4627-8FDF-5720C4660763}"/>
    <cellStyle name="Comma 9 5 2_Adjusted bridges" xfId="11565" xr:uid="{9467169B-6D9D-4A67-898F-B4277C07F9CB}"/>
    <cellStyle name="Comma 9 5 3" xfId="7646" xr:uid="{EF42034D-AFA8-4F1A-8CC1-557D2EBCD37B}"/>
    <cellStyle name="Comma 9 5 3 2" xfId="7647" xr:uid="{13C711C4-5960-4465-BD4E-A5CDF9A78832}"/>
    <cellStyle name="Comma 9 5 3_Adjusted bridges" xfId="11567" xr:uid="{9A00D78E-F902-4CBC-A336-F56C8AA3A8BC}"/>
    <cellStyle name="Comma 9 5 4" xfId="7648" xr:uid="{9DC861AA-977B-4CD8-BCF3-9883B4F15163}"/>
    <cellStyle name="Comma 9 5_Adjusted bridges" xfId="11564" xr:uid="{B0EF471E-856B-4568-993A-01F660E71F01}"/>
    <cellStyle name="Comma 9 6" xfId="7649" xr:uid="{79F6DBCE-9980-412E-97F1-96E08A5A0E71}"/>
    <cellStyle name="Comma 9 6 2" xfId="7650" xr:uid="{15DBC1AE-7D21-43EB-A060-60BB2427B544}"/>
    <cellStyle name="Comma 9 6 2 2" xfId="7651" xr:uid="{51D72011-D454-4971-B027-897F5BB9DA15}"/>
    <cellStyle name="Comma 9 6 2_Adjusted bridges" xfId="11569" xr:uid="{BB682585-C456-4E0B-8E49-EA30717DBB16}"/>
    <cellStyle name="Comma 9 6 3" xfId="7652" xr:uid="{DB865E94-F0E3-4A20-97E2-5C0658A051CA}"/>
    <cellStyle name="Comma 9 6_Adjusted bridges" xfId="11568" xr:uid="{C8B9FA50-818B-4214-AF48-51F8E1F446B3}"/>
    <cellStyle name="Comma 9 7" xfId="7653" xr:uid="{DE2C7A65-FE1B-4E72-9F03-883AFE5626CA}"/>
    <cellStyle name="Comma 9 7 2" xfId="7654" xr:uid="{3FE4B81F-BADE-4B14-811D-D134A89E4B3D}"/>
    <cellStyle name="Comma 9 7_Adjusted bridges" xfId="11570" xr:uid="{D7EE4A1C-74BC-4C6E-8838-D374B140449F}"/>
    <cellStyle name="Comma 9 8" xfId="7655" xr:uid="{B85E9A0A-8086-4BED-A819-CCC8DBC2C187}"/>
    <cellStyle name="Comma 9_Adjusted Bridge, ECS" xfId="11571" xr:uid="{8E32D463-11FE-4324-BDF0-B74B25408D6D}"/>
    <cellStyle name="Comma0" xfId="7656" xr:uid="{0E3E6D71-870D-4494-8CD3-225FFC153DA6}"/>
    <cellStyle name="Commentaire" xfId="222" xr:uid="{00000000-0005-0000-0000-00006D0C0000}"/>
    <cellStyle name="Commentaire 2" xfId="3328" xr:uid="{00000000-0005-0000-0000-00006E0C0000}"/>
    <cellStyle name="Commentaire 2 2" xfId="3329" xr:uid="{00000000-0005-0000-0000-00006F0C0000}"/>
    <cellStyle name="Commentaire 2 2 2" xfId="3330" xr:uid="{00000000-0005-0000-0000-0000700C0000}"/>
    <cellStyle name="Commentaire 2 2_Adjusted Bridge, ECS" xfId="11572" xr:uid="{B9E3E4A3-DEF9-4C76-B2A0-2AF5ADB6910D}"/>
    <cellStyle name="Commentaire 2 3" xfId="3331" xr:uid="{00000000-0005-0000-0000-0000720C0000}"/>
    <cellStyle name="Commentaire 2_Adjusted Bridge, ECS" xfId="11573" xr:uid="{5F6CE992-0AE3-44B9-BB35-E1B9B6909EFA}"/>
    <cellStyle name="Commentaire 3" xfId="3332" xr:uid="{00000000-0005-0000-0000-0000740C0000}"/>
    <cellStyle name="Commentaire 3 2" xfId="3333" xr:uid="{00000000-0005-0000-0000-0000750C0000}"/>
    <cellStyle name="Commentaire 3 2 2" xfId="3334" xr:uid="{00000000-0005-0000-0000-0000760C0000}"/>
    <cellStyle name="Commentaire 3 2_Adjusted Bridge, ECS" xfId="11574" xr:uid="{5F1A836E-C3F5-42CE-B493-1CE21DC961C3}"/>
    <cellStyle name="Commentaire 3 3" xfId="3335" xr:uid="{00000000-0005-0000-0000-0000780C0000}"/>
    <cellStyle name="Commentaire 3_Adjusted Bridge, ECS" xfId="11575" xr:uid="{17432624-E48B-4569-9F98-7F61EDBBD50A}"/>
    <cellStyle name="Commentaire 4" xfId="3336" xr:uid="{00000000-0005-0000-0000-00007A0C0000}"/>
    <cellStyle name="Commentaire 4 2" xfId="3337" xr:uid="{00000000-0005-0000-0000-00007B0C0000}"/>
    <cellStyle name="Commentaire 4_Adjusted Bridge, ECS" xfId="11576" xr:uid="{C199565D-F1E1-4E58-94C9-19FD85E767E4}"/>
    <cellStyle name="Commentaire_1.Entity" xfId="3338" xr:uid="{00000000-0005-0000-0000-00007D0C0000}"/>
    <cellStyle name="Copied" xfId="223" xr:uid="{00000000-0005-0000-0000-00007E0C0000}"/>
    <cellStyle name="Copied 2" xfId="3339" xr:uid="{00000000-0005-0000-0000-00007F0C0000}"/>
    <cellStyle name="Copied 2 2" xfId="3340" xr:uid="{00000000-0005-0000-0000-0000800C0000}"/>
    <cellStyle name="Copied 2_Adjusted Bridge, ECS" xfId="11577" xr:uid="{941447BC-9775-4B32-8993-C619380112A7}"/>
    <cellStyle name="Copied_Adjusted Bridge, ECS" xfId="11578" xr:uid="{1F1855D2-436C-4883-9F7F-BD6832071C9B}"/>
    <cellStyle name="Credito" xfId="7657" xr:uid="{9DE198AE-ECBD-45A6-86CF-DE90CA654C08}"/>
    <cellStyle name="Currency [0] 2" xfId="7658" xr:uid="{417FB560-29A8-4974-AAC5-A0DD7694B6D3}"/>
    <cellStyle name="Currency [0] 2 2" xfId="7659" xr:uid="{18BB8A4D-6E1B-4CED-9695-8A968CDE3100}"/>
    <cellStyle name="Currency [0] 2_Adjusted bridges" xfId="11579" xr:uid="{9EB57BA0-7712-4BB3-B82E-B5349DCF4A94}"/>
    <cellStyle name="Currency [0] 3" xfId="7660" xr:uid="{32C9026B-82A1-44F7-A022-5DCB195D0AFA}"/>
    <cellStyle name="Currency 2" xfId="3341" xr:uid="{00000000-0005-0000-0000-0000830C0000}"/>
    <cellStyle name="Currency 2 2" xfId="3342" xr:uid="{00000000-0005-0000-0000-0000840C0000}"/>
    <cellStyle name="Currency 2 2 2" xfId="6216" xr:uid="{052DED2A-E473-462F-AC19-286010E6FE57}"/>
    <cellStyle name="Currency 2 2_Adjusted Bridge, ECS" xfId="11580" xr:uid="{0A0E4046-1C24-4027-8EC3-BFE4785AFFAF}"/>
    <cellStyle name="Currency 2 3" xfId="6215" xr:uid="{519B5E95-BEB1-4CEE-859E-93029D6CFA2F}"/>
    <cellStyle name="Currency 2_Acq input" xfId="7661" xr:uid="{FF1B9D23-EC9F-4BD6-913C-37BD416F4E93}"/>
    <cellStyle name="Currency 3" xfId="7662" xr:uid="{6C0B0289-39D9-47FE-B692-F46D51AAD007}"/>
    <cellStyle name="Currency 3 2" xfId="7663" xr:uid="{FD4899D3-CB47-498F-A010-2C22C36B4217}"/>
    <cellStyle name="Currency 3_Adjusted bridges" xfId="11581" xr:uid="{76A13BBE-61DF-455F-8BCA-AD96C2CCBA89}"/>
    <cellStyle name="Currency 4" xfId="7664" xr:uid="{57C77672-B941-47CE-B022-76B3B4684EAB}"/>
    <cellStyle name="Currency0" xfId="7665" xr:uid="{D5595CF8-E6CB-4565-A1B6-B9F0DDC49775}"/>
    <cellStyle name="Data Input" xfId="3343" xr:uid="{00000000-0005-0000-0000-0000860C0000}"/>
    <cellStyle name="Data Input 2" xfId="7666" xr:uid="{E886013F-5A5E-4F7A-9629-439F1E79DFBE}"/>
    <cellStyle name="Data Input_Adjusted Bridge, ECS" xfId="11582" xr:uid="{1A65D99B-902B-467F-B061-4261A9557B94}"/>
    <cellStyle name="Date" xfId="224" xr:uid="{00000000-0005-0000-0000-0000870C0000}"/>
    <cellStyle name="Datum" xfId="225" xr:uid="{00000000-0005-0000-0000-0000880C0000}"/>
    <cellStyle name="Datum 2" xfId="226" xr:uid="{00000000-0005-0000-0000-0000890C0000}"/>
    <cellStyle name="Datum 3" xfId="227" xr:uid="{00000000-0005-0000-0000-00008A0C0000}"/>
    <cellStyle name="Datum 3 2" xfId="7667" xr:uid="{7FB82B50-909B-44EE-8C9E-04D23D2D9C04}"/>
    <cellStyle name="Datum 3_Adjusted Bridge, ECS" xfId="11583" xr:uid="{CE884F26-6916-4770-A528-3C1541FA8AB9}"/>
    <cellStyle name="Datum 4" xfId="3344" xr:uid="{00000000-0005-0000-0000-00008B0C0000}"/>
    <cellStyle name="Datum 5" xfId="3345" xr:uid="{00000000-0005-0000-0000-00008C0C0000}"/>
    <cellStyle name="Datum 6" xfId="3346" xr:uid="{00000000-0005-0000-0000-00008D0C0000}"/>
    <cellStyle name="Datum 7" xfId="3347" xr:uid="{00000000-0005-0000-0000-00008E0C0000}"/>
    <cellStyle name="Datum_Adjusted Bridge, ECS" xfId="11584" xr:uid="{81E87278-C38F-4FE9-A83B-E305346493E1}"/>
    <cellStyle name="ddd" xfId="3348" xr:uid="{00000000-0005-0000-0000-0000900C0000}"/>
    <cellStyle name="Dezimal [0] 2" xfId="7668" xr:uid="{C903D47E-6DF3-4DFA-A5D0-A90291BA422C}"/>
    <cellStyle name="Dezimal [0]_2ADJ" xfId="228" xr:uid="{00000000-0005-0000-0000-0000910C0000}"/>
    <cellStyle name="Dezimal_2ADJ" xfId="229" xr:uid="{00000000-0005-0000-0000-0000920C0000}"/>
    <cellStyle name="Eingabe" xfId="7669" xr:uid="{C1D1419D-2A8C-456D-A21E-8FAA3C3317D2}"/>
    <cellStyle name="Eingabe 2" xfId="7670" xr:uid="{D9B8808B-D998-4554-A526-B7F2CF68FAC1}"/>
    <cellStyle name="Eingabe_Adjusted bridges" xfId="11585" xr:uid="{E9DFC03E-11F2-457D-8989-266731DF9D1F}"/>
    <cellStyle name="Emphasis 1" xfId="230" xr:uid="{00000000-0005-0000-0000-0000930C0000}"/>
    <cellStyle name="Emphasis 1 2" xfId="3349" xr:uid="{00000000-0005-0000-0000-0000940C0000}"/>
    <cellStyle name="Emphasis 1 3" xfId="3350" xr:uid="{00000000-0005-0000-0000-0000950C0000}"/>
    <cellStyle name="Emphasis 1 4" xfId="3351" xr:uid="{00000000-0005-0000-0000-0000960C0000}"/>
    <cellStyle name="Emphasis 1_Adjusted bridges" xfId="11586" xr:uid="{36D10498-DE0B-4A03-A70F-BFE1B89378F2}"/>
    <cellStyle name="Emphasis 2" xfId="231" xr:uid="{00000000-0005-0000-0000-0000970C0000}"/>
    <cellStyle name="Emphasis 2 2" xfId="3352" xr:uid="{00000000-0005-0000-0000-0000980C0000}"/>
    <cellStyle name="Emphasis 2 3" xfId="3353" xr:uid="{00000000-0005-0000-0000-0000990C0000}"/>
    <cellStyle name="Emphasis 2 4" xfId="3354" xr:uid="{00000000-0005-0000-0000-00009A0C0000}"/>
    <cellStyle name="Emphasis 2_Adjusted bridges" xfId="11587" xr:uid="{875BF18B-0FAC-425C-9D44-AADC4B2B15DF}"/>
    <cellStyle name="Emphasis 3" xfId="232" xr:uid="{00000000-0005-0000-0000-00009B0C0000}"/>
    <cellStyle name="Emphasis 3 2" xfId="3355" xr:uid="{00000000-0005-0000-0000-00009C0C0000}"/>
    <cellStyle name="Emphasis 3 3" xfId="3356" xr:uid="{00000000-0005-0000-0000-00009D0C0000}"/>
    <cellStyle name="Emphasis 3 4" xfId="3357" xr:uid="{00000000-0005-0000-0000-00009E0C0000}"/>
    <cellStyle name="Emphasis 3_Adjusted bridges" xfId="11588" xr:uid="{A6679997-878E-4ED4-8BCE-B46386B04B8A}"/>
    <cellStyle name="Encabezado 4" xfId="7671" xr:uid="{32F2D5C8-4D93-48F2-A3F8-0740437FA1A7}"/>
    <cellStyle name="Ênfase1" xfId="7672" xr:uid="{8CEB2493-849B-4BEE-9BB2-07FD3E180B56}"/>
    <cellStyle name="Ênfase2" xfId="7673" xr:uid="{C26A2304-8EEE-41AE-8EDE-D514E5341485}"/>
    <cellStyle name="Ênfase3" xfId="7674" xr:uid="{A007132A-4717-4979-84F4-D42CF592528F}"/>
    <cellStyle name="Ênfase4" xfId="7675" xr:uid="{384E15E1-4849-46B7-BFD5-D45519BC9E0E}"/>
    <cellStyle name="Ênfase5" xfId="7676" xr:uid="{9EAB0A4D-E09B-47D6-A45B-B335C09DB718}"/>
    <cellStyle name="Ênfase6" xfId="7677" xr:uid="{E3BD335C-05DB-428B-8162-9D91345607EF}"/>
    <cellStyle name="Énfasis1" xfId="7678" xr:uid="{6798744C-98FD-4E93-ABD9-269AB7887048}"/>
    <cellStyle name="Énfasis2" xfId="7679" xr:uid="{FBCA0E62-6CD8-452F-A8A4-E39EE2B2A787}"/>
    <cellStyle name="Énfasis3" xfId="7680" xr:uid="{DD40383A-0AD5-42FD-AC83-C36D62AFF2FF}"/>
    <cellStyle name="Énfasis4" xfId="7681" xr:uid="{23884EEA-DD71-46D9-B842-17BB39B129B2}"/>
    <cellStyle name="Énfasis5" xfId="7682" xr:uid="{0C9BDDD3-F41A-428C-8E27-17741E19C4A4}"/>
    <cellStyle name="Énfasis6" xfId="7683" xr:uid="{90C63E30-F33D-4B0C-82B3-C3A6C23C33B0}"/>
    <cellStyle name="Entered" xfId="233" xr:uid="{00000000-0005-0000-0000-00009F0C0000}"/>
    <cellStyle name="Entered 2" xfId="3358" xr:uid="{00000000-0005-0000-0000-0000A00C0000}"/>
    <cellStyle name="Entered 2 2" xfId="3359" xr:uid="{00000000-0005-0000-0000-0000A10C0000}"/>
    <cellStyle name="Entered 2_Adjusted Bridge, ECS" xfId="11589" xr:uid="{F23388C4-2622-472B-B9BF-03999FB3AF84}"/>
    <cellStyle name="Entered_Adjusted Bridge, ECS" xfId="11590" xr:uid="{4C3E44B3-4FA4-4E01-BB3E-16C8D0A01B32}"/>
    <cellStyle name="Entrada" xfId="7684" xr:uid="{BE61B098-973B-4307-89BB-4BE2CCCAD640}"/>
    <cellStyle name="Entrée" xfId="234" xr:uid="{00000000-0005-0000-0000-0000A40C0000}"/>
    <cellStyle name="Ergebnis" xfId="7685" xr:uid="{E995E6DF-066A-4C07-8AC9-1CC326FD07CE}"/>
    <cellStyle name="Ergebnis 2" xfId="7686" xr:uid="{AE556055-F338-427A-8DB0-6B9B88E95AD8}"/>
    <cellStyle name="Ergebnis_Adjusted bridges" xfId="11591" xr:uid="{50567477-5A62-4DA7-B2B8-3DC6CF7683E0}"/>
    <cellStyle name="Erklärender Text" xfId="7687" xr:uid="{3F8022CE-A27A-4B30-AC07-78DE8DE6BE10}"/>
    <cellStyle name="Erklärender Text 2" xfId="7688" xr:uid="{BEABBC31-56A3-43D4-8913-BA34B66CD803}"/>
    <cellStyle name="Erklärender Text_Adjusted bridges" xfId="11592" xr:uid="{41C4988E-89E2-4FDF-87E5-A0DAC0A168DF}"/>
    <cellStyle name="Estilo 1" xfId="3360" xr:uid="{00000000-0005-0000-0000-0000A50C0000}"/>
    <cellStyle name="Euro" xfId="3361" xr:uid="{00000000-0005-0000-0000-0000A60C0000}"/>
    <cellStyle name="Explanatory Text 10" xfId="3362" xr:uid="{00000000-0005-0000-0000-0000A70C0000}"/>
    <cellStyle name="Explanatory Text 11" xfId="3363" xr:uid="{00000000-0005-0000-0000-0000A80C0000}"/>
    <cellStyle name="Explanatory Text 12" xfId="3364" xr:uid="{00000000-0005-0000-0000-0000A90C0000}"/>
    <cellStyle name="Explanatory Text 13" xfId="3365" xr:uid="{00000000-0005-0000-0000-0000AA0C0000}"/>
    <cellStyle name="Explanatory Text 2" xfId="235" xr:uid="{00000000-0005-0000-0000-0000AB0C0000}"/>
    <cellStyle name="Explanatory Text 2 10" xfId="3366" xr:uid="{00000000-0005-0000-0000-0000AC0C0000}"/>
    <cellStyle name="Explanatory Text 2 11" xfId="3367" xr:uid="{00000000-0005-0000-0000-0000AD0C0000}"/>
    <cellStyle name="Explanatory Text 2 12" xfId="3368" xr:uid="{00000000-0005-0000-0000-0000AE0C0000}"/>
    <cellStyle name="Explanatory Text 2 13" xfId="3369" xr:uid="{00000000-0005-0000-0000-0000AF0C0000}"/>
    <cellStyle name="Explanatory Text 2 14" xfId="3370" xr:uid="{00000000-0005-0000-0000-0000B00C0000}"/>
    <cellStyle name="Explanatory Text 2 15" xfId="3371" xr:uid="{00000000-0005-0000-0000-0000B10C0000}"/>
    <cellStyle name="Explanatory Text 2 2" xfId="3372" xr:uid="{00000000-0005-0000-0000-0000B20C0000}"/>
    <cellStyle name="Explanatory Text 2 2 10" xfId="3373" xr:uid="{00000000-0005-0000-0000-0000B30C0000}"/>
    <cellStyle name="Explanatory Text 2 2 11" xfId="3374" xr:uid="{00000000-0005-0000-0000-0000B40C0000}"/>
    <cellStyle name="Explanatory Text 2 2 12" xfId="3375" xr:uid="{00000000-0005-0000-0000-0000B50C0000}"/>
    <cellStyle name="Explanatory Text 2 2 2" xfId="3376" xr:uid="{00000000-0005-0000-0000-0000B60C0000}"/>
    <cellStyle name="Explanatory Text 2 2 3" xfId="3377" xr:uid="{00000000-0005-0000-0000-0000B70C0000}"/>
    <cellStyle name="Explanatory Text 2 2 4" xfId="3378" xr:uid="{00000000-0005-0000-0000-0000B80C0000}"/>
    <cellStyle name="Explanatory Text 2 2 5" xfId="3379" xr:uid="{00000000-0005-0000-0000-0000B90C0000}"/>
    <cellStyle name="Explanatory Text 2 2 6" xfId="3380" xr:uid="{00000000-0005-0000-0000-0000BA0C0000}"/>
    <cellStyle name="Explanatory Text 2 2 7" xfId="3381" xr:uid="{00000000-0005-0000-0000-0000BB0C0000}"/>
    <cellStyle name="Explanatory Text 2 2 8" xfId="3382" xr:uid="{00000000-0005-0000-0000-0000BC0C0000}"/>
    <cellStyle name="Explanatory Text 2 2 9" xfId="3383" xr:uid="{00000000-0005-0000-0000-0000BD0C0000}"/>
    <cellStyle name="Explanatory Text 2 2_Adjusted Bridge, ECS" xfId="11593" xr:uid="{B58C61E5-C8FB-4DEF-8BA5-64344DA737AD}"/>
    <cellStyle name="Explanatory Text 2 3" xfId="3384" xr:uid="{00000000-0005-0000-0000-0000BF0C0000}"/>
    <cellStyle name="Explanatory Text 2 4" xfId="3385" xr:uid="{00000000-0005-0000-0000-0000C00C0000}"/>
    <cellStyle name="Explanatory Text 2 5" xfId="3386" xr:uid="{00000000-0005-0000-0000-0000C10C0000}"/>
    <cellStyle name="Explanatory Text 2 6" xfId="3387" xr:uid="{00000000-0005-0000-0000-0000C20C0000}"/>
    <cellStyle name="Explanatory Text 2 7" xfId="3388" xr:uid="{00000000-0005-0000-0000-0000C30C0000}"/>
    <cellStyle name="Explanatory Text 2 8" xfId="3389" xr:uid="{00000000-0005-0000-0000-0000C40C0000}"/>
    <cellStyle name="Explanatory Text 2 9" xfId="3390" xr:uid="{00000000-0005-0000-0000-0000C50C0000}"/>
    <cellStyle name="Explanatory Text 2_Adjusted Bridge, ECS" xfId="11594" xr:uid="{8B19CEA2-A9FB-4949-9DE6-D759A48EBD1D}"/>
    <cellStyle name="Explanatory Text 3" xfId="236" xr:uid="{00000000-0005-0000-0000-0000C70C0000}"/>
    <cellStyle name="Explanatory Text 3 2" xfId="3391" xr:uid="{00000000-0005-0000-0000-0000C80C0000}"/>
    <cellStyle name="Explanatory Text 3_Adjusted Bridge, ECS" xfId="11595" xr:uid="{D123A1EB-0CDA-48C4-AF9E-BAF6CDC7FC08}"/>
    <cellStyle name="Explanatory Text 4" xfId="237" xr:uid="{00000000-0005-0000-0000-0000CA0C0000}"/>
    <cellStyle name="Explanatory Text 4 2" xfId="3392" xr:uid="{00000000-0005-0000-0000-0000CB0C0000}"/>
    <cellStyle name="Explanatory Text 4_Adjusted Bridge, ECS" xfId="11596" xr:uid="{EAD30F71-9812-4AC7-BFCA-C41BF879F17B}"/>
    <cellStyle name="Explanatory Text 5" xfId="238" xr:uid="{00000000-0005-0000-0000-0000CD0C0000}"/>
    <cellStyle name="Explanatory Text 6" xfId="3393" xr:uid="{00000000-0005-0000-0000-0000CE0C0000}"/>
    <cellStyle name="Explanatory Text 7" xfId="3394" xr:uid="{00000000-0005-0000-0000-0000CF0C0000}"/>
    <cellStyle name="Explanatory Text 8" xfId="3395" xr:uid="{00000000-0005-0000-0000-0000D00C0000}"/>
    <cellStyle name="Explanatory Text 9" xfId="3396" xr:uid="{00000000-0005-0000-0000-0000D10C0000}"/>
    <cellStyle name="Fill" xfId="3397" xr:uid="{00000000-0005-0000-0000-0000D20C0000}"/>
    <cellStyle name="Finstilt" xfId="239" xr:uid="{00000000-0005-0000-0000-0000D30C0000}"/>
    <cellStyle name="Finstilt låst" xfId="240" xr:uid="{00000000-0005-0000-0000-0000D40C0000}"/>
    <cellStyle name="Finstilt_Adjusted Bridge, ECS" xfId="11597" xr:uid="{462183FB-5E8F-4213-BCB9-C652C3B14197}"/>
    <cellStyle name="Fixed" xfId="7689" xr:uid="{41C6570E-447F-490B-A880-DDC7F16298B9}"/>
    <cellStyle name="Format Datum (MMM-ÅÅ)" xfId="3398" xr:uid="{00000000-0005-0000-0000-0000D50C0000}"/>
    <cellStyle name="Format Datum (ÅÅ-MM-DD t.mm)" xfId="3399" xr:uid="{00000000-0005-0000-0000-0000D60C0000}"/>
    <cellStyle name="Format Datum (ÅÅ-MM-DD)" xfId="3400" xr:uid="{00000000-0005-0000-0000-0000D70C0000}"/>
    <cellStyle name="Format Procent (0%)" xfId="3401" xr:uid="{00000000-0005-0000-0000-0000D80C0000}"/>
    <cellStyle name="Format Procent (0,0%)" xfId="3402" xr:uid="{00000000-0005-0000-0000-0000D90C0000}"/>
    <cellStyle name="Format Tal (# ##0)" xfId="3403" xr:uid="{00000000-0005-0000-0000-0000DA0C0000}"/>
    <cellStyle name="Format Tal (# ##0,00)" xfId="3404" xr:uid="{00000000-0005-0000-0000-0000DB0C0000}"/>
    <cellStyle name="Format Tid (t.mm)" xfId="3405" xr:uid="{00000000-0005-0000-0000-0000DC0C0000}"/>
    <cellStyle name="Good 10" xfId="3406" xr:uid="{00000000-0005-0000-0000-0000DD0C0000}"/>
    <cellStyle name="Good 11" xfId="3407" xr:uid="{00000000-0005-0000-0000-0000DE0C0000}"/>
    <cellStyle name="Good 12" xfId="3408" xr:uid="{00000000-0005-0000-0000-0000DF0C0000}"/>
    <cellStyle name="Good 13" xfId="3409" xr:uid="{00000000-0005-0000-0000-0000E00C0000}"/>
    <cellStyle name="Good 14" xfId="7690" xr:uid="{9BD44064-2F84-4FD8-87BA-8FC9B6B53F52}"/>
    <cellStyle name="Good 2" xfId="241" xr:uid="{00000000-0005-0000-0000-0000E10C0000}"/>
    <cellStyle name="Good 2 10" xfId="3410" xr:uid="{00000000-0005-0000-0000-0000E20C0000}"/>
    <cellStyle name="Good 2 11" xfId="3411" xr:uid="{00000000-0005-0000-0000-0000E30C0000}"/>
    <cellStyle name="Good 2 12" xfId="3412" xr:uid="{00000000-0005-0000-0000-0000E40C0000}"/>
    <cellStyle name="Good 2 13" xfId="3413" xr:uid="{00000000-0005-0000-0000-0000E50C0000}"/>
    <cellStyle name="Good 2 14" xfId="3414" xr:uid="{00000000-0005-0000-0000-0000E60C0000}"/>
    <cellStyle name="Good 2 15" xfId="3415" xr:uid="{00000000-0005-0000-0000-0000E70C0000}"/>
    <cellStyle name="Good 2 16" xfId="3416" xr:uid="{00000000-0005-0000-0000-0000E80C0000}"/>
    <cellStyle name="Good 2 2" xfId="3417" xr:uid="{00000000-0005-0000-0000-0000E90C0000}"/>
    <cellStyle name="Good 2 2 10" xfId="3418" xr:uid="{00000000-0005-0000-0000-0000EA0C0000}"/>
    <cellStyle name="Good 2 2 11" xfId="3419" xr:uid="{00000000-0005-0000-0000-0000EB0C0000}"/>
    <cellStyle name="Good 2 2 12" xfId="3420" xr:uid="{00000000-0005-0000-0000-0000EC0C0000}"/>
    <cellStyle name="Good 2 2 13" xfId="3421" xr:uid="{00000000-0005-0000-0000-0000ED0C0000}"/>
    <cellStyle name="Good 2 2 14" xfId="3422" xr:uid="{00000000-0005-0000-0000-0000EE0C0000}"/>
    <cellStyle name="Good 2 2 15" xfId="3423" xr:uid="{00000000-0005-0000-0000-0000EF0C0000}"/>
    <cellStyle name="Good 2 2 2" xfId="3424" xr:uid="{00000000-0005-0000-0000-0000F00C0000}"/>
    <cellStyle name="Good 2 2 3" xfId="3425" xr:uid="{00000000-0005-0000-0000-0000F10C0000}"/>
    <cellStyle name="Good 2 2 4" xfId="3426" xr:uid="{00000000-0005-0000-0000-0000F20C0000}"/>
    <cellStyle name="Good 2 2 5" xfId="3427" xr:uid="{00000000-0005-0000-0000-0000F30C0000}"/>
    <cellStyle name="Good 2 2 6" xfId="3428" xr:uid="{00000000-0005-0000-0000-0000F40C0000}"/>
    <cellStyle name="Good 2 2 7" xfId="3429" xr:uid="{00000000-0005-0000-0000-0000F50C0000}"/>
    <cellStyle name="Good 2 2 8" xfId="3430" xr:uid="{00000000-0005-0000-0000-0000F60C0000}"/>
    <cellStyle name="Good 2 2 9" xfId="3431" xr:uid="{00000000-0005-0000-0000-0000F70C0000}"/>
    <cellStyle name="Good 2 2_Adjusted Bridge, ECS" xfId="11598" xr:uid="{754D5080-7611-4AE4-ABE4-E8B29ABEAEB6}"/>
    <cellStyle name="Good 2 3" xfId="3432" xr:uid="{00000000-0005-0000-0000-0000F90C0000}"/>
    <cellStyle name="Good 2 3 2" xfId="3433" xr:uid="{00000000-0005-0000-0000-0000FA0C0000}"/>
    <cellStyle name="Good 2 3_Adjusted Bridge, ECS" xfId="11599" xr:uid="{6864E550-1F41-42D4-8C24-BE2FE67ABB15}"/>
    <cellStyle name="Good 2 4" xfId="3434" xr:uid="{00000000-0005-0000-0000-0000FC0C0000}"/>
    <cellStyle name="Good 2 4 2" xfId="3435" xr:uid="{00000000-0005-0000-0000-0000FD0C0000}"/>
    <cellStyle name="Good 2 4_Adjusted Bridge, ECS" xfId="11600" xr:uid="{526ABCCD-E1D3-4274-82B6-0B67B920985E}"/>
    <cellStyle name="Good 2 5" xfId="3436" xr:uid="{00000000-0005-0000-0000-0000FE0C0000}"/>
    <cellStyle name="Good 2 6" xfId="3437" xr:uid="{00000000-0005-0000-0000-0000FF0C0000}"/>
    <cellStyle name="Good 2 7" xfId="3438" xr:uid="{00000000-0005-0000-0000-0000000D0000}"/>
    <cellStyle name="Good 2 8" xfId="3439" xr:uid="{00000000-0005-0000-0000-0000010D0000}"/>
    <cellStyle name="Good 2 9" xfId="3440" xr:uid="{00000000-0005-0000-0000-0000020D0000}"/>
    <cellStyle name="Good 2_Acq input" xfId="7691" xr:uid="{2911D135-3EB3-483B-9E8B-8E3DA0CB8BF1}"/>
    <cellStyle name="Good 3" xfId="242" xr:uid="{00000000-0005-0000-0000-0000040D0000}"/>
    <cellStyle name="Good 3 2" xfId="3441" xr:uid="{00000000-0005-0000-0000-0000050D0000}"/>
    <cellStyle name="Good 3 3" xfId="3442" xr:uid="{00000000-0005-0000-0000-0000060D0000}"/>
    <cellStyle name="Good 3 4" xfId="3443" xr:uid="{00000000-0005-0000-0000-0000070D0000}"/>
    <cellStyle name="Good 3 5" xfId="3444" xr:uid="{00000000-0005-0000-0000-0000080D0000}"/>
    <cellStyle name="Good 3 6" xfId="3445" xr:uid="{00000000-0005-0000-0000-0000090D0000}"/>
    <cellStyle name="Good 3 7" xfId="3446" xr:uid="{00000000-0005-0000-0000-00000A0D0000}"/>
    <cellStyle name="Good 3 8" xfId="3447" xr:uid="{00000000-0005-0000-0000-00000B0D0000}"/>
    <cellStyle name="Good 3 9" xfId="3448" xr:uid="{00000000-0005-0000-0000-00000C0D0000}"/>
    <cellStyle name="Good 3_Adjusted Bridge, ECS" xfId="11601" xr:uid="{118C61FC-B4E5-4142-BEED-2C44FCFF638B}"/>
    <cellStyle name="Good 4" xfId="243" xr:uid="{00000000-0005-0000-0000-00000E0D0000}"/>
    <cellStyle name="Good 4 2" xfId="3449" xr:uid="{00000000-0005-0000-0000-00000F0D0000}"/>
    <cellStyle name="Good 4_Adjusted Bridge, ECS" xfId="11602" xr:uid="{C688EBA7-607A-45F4-9CF8-E2362A6EB62D}"/>
    <cellStyle name="Good 5" xfId="244" xr:uid="{00000000-0005-0000-0000-0000110D0000}"/>
    <cellStyle name="Good 6" xfId="3450" xr:uid="{00000000-0005-0000-0000-0000120D0000}"/>
    <cellStyle name="Good 7" xfId="3451" xr:uid="{00000000-0005-0000-0000-0000130D0000}"/>
    <cellStyle name="Good 8" xfId="3452" xr:uid="{00000000-0005-0000-0000-0000140D0000}"/>
    <cellStyle name="Good 9" xfId="3453" xr:uid="{00000000-0005-0000-0000-0000150D0000}"/>
    <cellStyle name="Grey" xfId="245" xr:uid="{00000000-0005-0000-0000-0000160D0000}"/>
    <cellStyle name="Grey 2" xfId="7692" xr:uid="{74EBBAC6-AF5B-40FE-9FE0-1D732A956E0A}"/>
    <cellStyle name="Grey 3" xfId="7693" xr:uid="{9ED7C09C-EC94-4E22-AE2B-46CEB2A2B562}"/>
    <cellStyle name="Grey_Adjusted Bridge, ECS" xfId="11603" xr:uid="{84CED7DC-52B2-410B-97A6-865AB81B3CF1}"/>
    <cellStyle name="Gut" xfId="7694" xr:uid="{47FF1804-CB2C-4501-BE20-B053E9D58703}"/>
    <cellStyle name="Gut 2" xfId="7695" xr:uid="{13EFF516-C485-49B7-9E2F-2A78C5829779}"/>
    <cellStyle name="Gut_Adjusted bridges" xfId="11604" xr:uid="{407886CA-EAB4-4C64-9211-90CB85B24CB2}"/>
    <cellStyle name="hard no" xfId="246" xr:uid="{00000000-0005-0000-0000-0000170D0000}"/>
    <cellStyle name="hard no 2" xfId="3454" xr:uid="{00000000-0005-0000-0000-0000180D0000}"/>
    <cellStyle name="hard no 2 2" xfId="3455" xr:uid="{00000000-0005-0000-0000-0000190D0000}"/>
    <cellStyle name="hard no 2_Adjusted Bridge, ECS" xfId="11605" xr:uid="{2B8C3D8D-EB26-4304-8E3A-7849EC6EF590}"/>
    <cellStyle name="hard no 3" xfId="3456" xr:uid="{00000000-0005-0000-0000-00001A0D0000}"/>
    <cellStyle name="hard no_Adjusted Bridge, ECS" xfId="11606" xr:uid="{44E537C5-854A-445A-9D45-6D01A6A31EC3}"/>
    <cellStyle name="hardno" xfId="247" xr:uid="{00000000-0005-0000-0000-00001B0D0000}"/>
    <cellStyle name="Header1" xfId="248" xr:uid="{00000000-0005-0000-0000-00001C0D0000}"/>
    <cellStyle name="Header2" xfId="249" xr:uid="{00000000-0005-0000-0000-00001D0D0000}"/>
    <cellStyle name="Header2 2" xfId="3457" xr:uid="{00000000-0005-0000-0000-00001E0D0000}"/>
    <cellStyle name="Header2_Adjusted Bridge, ECS" xfId="11607" xr:uid="{6D51D06F-EAAE-4433-9213-1318FCEB87E7}"/>
    <cellStyle name="Heading 1 10" xfId="3458" xr:uid="{00000000-0005-0000-0000-00001F0D0000}"/>
    <cellStyle name="Heading 1 11" xfId="3459" xr:uid="{00000000-0005-0000-0000-0000200D0000}"/>
    <cellStyle name="Heading 1 12" xfId="3460" xr:uid="{00000000-0005-0000-0000-0000210D0000}"/>
    <cellStyle name="Heading 1 13" xfId="3461" xr:uid="{00000000-0005-0000-0000-0000220D0000}"/>
    <cellStyle name="Heading 1 2" xfId="250" xr:uid="{00000000-0005-0000-0000-0000230D0000}"/>
    <cellStyle name="Heading 1 2 10" xfId="3462" xr:uid="{00000000-0005-0000-0000-0000240D0000}"/>
    <cellStyle name="Heading 1 2 11" xfId="3463" xr:uid="{00000000-0005-0000-0000-0000250D0000}"/>
    <cellStyle name="Heading 1 2 12" xfId="3464" xr:uid="{00000000-0005-0000-0000-0000260D0000}"/>
    <cellStyle name="Heading 1 2 13" xfId="3465" xr:uid="{00000000-0005-0000-0000-0000270D0000}"/>
    <cellStyle name="Heading 1 2 14" xfId="3466" xr:uid="{00000000-0005-0000-0000-0000280D0000}"/>
    <cellStyle name="Heading 1 2 15" xfId="3467" xr:uid="{00000000-0005-0000-0000-0000290D0000}"/>
    <cellStyle name="Heading 1 2 16" xfId="3468" xr:uid="{00000000-0005-0000-0000-00002A0D0000}"/>
    <cellStyle name="Heading 1 2 2" xfId="3469" xr:uid="{00000000-0005-0000-0000-00002B0D0000}"/>
    <cellStyle name="Heading 1 2 2 10" xfId="3470" xr:uid="{00000000-0005-0000-0000-00002C0D0000}"/>
    <cellStyle name="Heading 1 2 2 11" xfId="3471" xr:uid="{00000000-0005-0000-0000-00002D0D0000}"/>
    <cellStyle name="Heading 1 2 2 12" xfId="3472" xr:uid="{00000000-0005-0000-0000-00002E0D0000}"/>
    <cellStyle name="Heading 1 2 2 13" xfId="3473" xr:uid="{00000000-0005-0000-0000-00002F0D0000}"/>
    <cellStyle name="Heading 1 2 2 14" xfId="3474" xr:uid="{00000000-0005-0000-0000-0000300D0000}"/>
    <cellStyle name="Heading 1 2 2 15" xfId="3475" xr:uid="{00000000-0005-0000-0000-0000310D0000}"/>
    <cellStyle name="Heading 1 2 2 2" xfId="3476" xr:uid="{00000000-0005-0000-0000-0000320D0000}"/>
    <cellStyle name="Heading 1 2 2 2 2" xfId="3477" xr:uid="{00000000-0005-0000-0000-0000330D0000}"/>
    <cellStyle name="Heading 1 2 2 2_Adjusted Bridge, ECS" xfId="11608" xr:uid="{3821171A-D781-41F3-8580-E4E2B4854CDA}"/>
    <cellStyle name="Heading 1 2 2 3" xfId="3478" xr:uid="{00000000-0005-0000-0000-0000340D0000}"/>
    <cellStyle name="Heading 1 2 2 4" xfId="3479" xr:uid="{00000000-0005-0000-0000-0000350D0000}"/>
    <cellStyle name="Heading 1 2 2 5" xfId="3480" xr:uid="{00000000-0005-0000-0000-0000360D0000}"/>
    <cellStyle name="Heading 1 2 2 6" xfId="3481" xr:uid="{00000000-0005-0000-0000-0000370D0000}"/>
    <cellStyle name="Heading 1 2 2 7" xfId="3482" xr:uid="{00000000-0005-0000-0000-0000380D0000}"/>
    <cellStyle name="Heading 1 2 2 8" xfId="3483" xr:uid="{00000000-0005-0000-0000-0000390D0000}"/>
    <cellStyle name="Heading 1 2 2 9" xfId="3484" xr:uid="{00000000-0005-0000-0000-00003A0D0000}"/>
    <cellStyle name="Heading 1 2 2_Adjusted Bridge, ECS" xfId="11609" xr:uid="{8C97BFBC-00BC-41AD-A0EE-236B09B09F46}"/>
    <cellStyle name="Heading 1 2 3" xfId="3485" xr:uid="{00000000-0005-0000-0000-00003C0D0000}"/>
    <cellStyle name="Heading 1 2 3 2" xfId="3486" xr:uid="{00000000-0005-0000-0000-00003D0D0000}"/>
    <cellStyle name="Heading 1 2 3_Adjusted Bridge, ECS" xfId="11610" xr:uid="{14F1CBDC-CF01-4A23-BC58-06706B75C156}"/>
    <cellStyle name="Heading 1 2 4" xfId="3487" xr:uid="{00000000-0005-0000-0000-00003F0D0000}"/>
    <cellStyle name="Heading 1 2 4 2" xfId="3488" xr:uid="{00000000-0005-0000-0000-0000400D0000}"/>
    <cellStyle name="Heading 1 2 4_Adjusted Bridge, ECS" xfId="11611" xr:uid="{8620F6AD-DB31-4519-A2A9-6F612A32F80A}"/>
    <cellStyle name="Heading 1 2 5" xfId="3489" xr:uid="{00000000-0005-0000-0000-0000410D0000}"/>
    <cellStyle name="Heading 1 2 6" xfId="3490" xr:uid="{00000000-0005-0000-0000-0000420D0000}"/>
    <cellStyle name="Heading 1 2 7" xfId="3491" xr:uid="{00000000-0005-0000-0000-0000430D0000}"/>
    <cellStyle name="Heading 1 2 8" xfId="3492" xr:uid="{00000000-0005-0000-0000-0000440D0000}"/>
    <cellStyle name="Heading 1 2 8 2" xfId="3493" xr:uid="{00000000-0005-0000-0000-0000450D0000}"/>
    <cellStyle name="Heading 1 2 8_Adjusted Bridge, ECS" xfId="11612" xr:uid="{0E9548FC-24D8-4F5A-8EEB-25A0828D6432}"/>
    <cellStyle name="Heading 1 2 9" xfId="3494" xr:uid="{00000000-0005-0000-0000-0000470D0000}"/>
    <cellStyle name="Heading 1 2_Acq input" xfId="7696" xr:uid="{7078C68D-A8F2-4BA3-A00A-C77DDE5D1BC6}"/>
    <cellStyle name="Heading 1 3" xfId="251" xr:uid="{00000000-0005-0000-0000-0000490D0000}"/>
    <cellStyle name="Heading 1 3 10" xfId="3495" xr:uid="{00000000-0005-0000-0000-00004A0D0000}"/>
    <cellStyle name="Heading 1 3 2" xfId="3496" xr:uid="{00000000-0005-0000-0000-00004B0D0000}"/>
    <cellStyle name="Heading 1 3 2 2" xfId="3497" xr:uid="{00000000-0005-0000-0000-00004C0D0000}"/>
    <cellStyle name="Heading 1 3 2 3" xfId="3498" xr:uid="{00000000-0005-0000-0000-00004D0D0000}"/>
    <cellStyle name="Heading 1 3 2_Adjusted Bridge, ECS" xfId="11613" xr:uid="{9EC698ED-E4A0-401F-A3D7-0BC1DB76D900}"/>
    <cellStyle name="Heading 1 3 3" xfId="3499" xr:uid="{00000000-0005-0000-0000-00004F0D0000}"/>
    <cellStyle name="Heading 1 3 3 2" xfId="3500" xr:uid="{00000000-0005-0000-0000-0000500D0000}"/>
    <cellStyle name="Heading 1 3 3_Adjusted Bridge, ECS" xfId="11614" xr:uid="{B623F222-D98E-4E8B-A8E0-8D7200E9C0FF}"/>
    <cellStyle name="Heading 1 3 4" xfId="3501" xr:uid="{00000000-0005-0000-0000-0000520D0000}"/>
    <cellStyle name="Heading 1 3 5" xfId="3502" xr:uid="{00000000-0005-0000-0000-0000530D0000}"/>
    <cellStyle name="Heading 1 3 6" xfId="3503" xr:uid="{00000000-0005-0000-0000-0000540D0000}"/>
    <cellStyle name="Heading 1 3 7" xfId="3504" xr:uid="{00000000-0005-0000-0000-0000550D0000}"/>
    <cellStyle name="Heading 1 3 8" xfId="3505" xr:uid="{00000000-0005-0000-0000-0000560D0000}"/>
    <cellStyle name="Heading 1 3 9" xfId="3506" xr:uid="{00000000-0005-0000-0000-0000570D0000}"/>
    <cellStyle name="Heading 1 3_Adjusted Bridge, ECS" xfId="11615" xr:uid="{C2482E45-EB7B-4298-949C-1E5AC468862A}"/>
    <cellStyle name="Heading 1 4" xfId="252" xr:uid="{00000000-0005-0000-0000-0000590D0000}"/>
    <cellStyle name="Heading 1 4 2" xfId="3507" xr:uid="{00000000-0005-0000-0000-00005A0D0000}"/>
    <cellStyle name="Heading 1 4_Adjusted Bridge, ECS" xfId="11616" xr:uid="{8225CDFD-556F-42AF-9F79-DE88268AFAE6}"/>
    <cellStyle name="Heading 1 5" xfId="253" xr:uid="{00000000-0005-0000-0000-00005C0D0000}"/>
    <cellStyle name="Heading 1 6" xfId="3508" xr:uid="{00000000-0005-0000-0000-00005D0D0000}"/>
    <cellStyle name="Heading 1 7" xfId="3509" xr:uid="{00000000-0005-0000-0000-00005E0D0000}"/>
    <cellStyle name="Heading 1 8" xfId="3510" xr:uid="{00000000-0005-0000-0000-00005F0D0000}"/>
    <cellStyle name="Heading 1 9" xfId="3511" xr:uid="{00000000-0005-0000-0000-0000600D0000}"/>
    <cellStyle name="Heading 2 10" xfId="3512" xr:uid="{00000000-0005-0000-0000-0000610D0000}"/>
    <cellStyle name="Heading 2 11" xfId="3513" xr:uid="{00000000-0005-0000-0000-0000620D0000}"/>
    <cellStyle name="Heading 2 12" xfId="3514" xr:uid="{00000000-0005-0000-0000-0000630D0000}"/>
    <cellStyle name="Heading 2 13" xfId="3515" xr:uid="{00000000-0005-0000-0000-0000640D0000}"/>
    <cellStyle name="Heading 2 2" xfId="254" xr:uid="{00000000-0005-0000-0000-0000650D0000}"/>
    <cellStyle name="Heading 2 2 10" xfId="3516" xr:uid="{00000000-0005-0000-0000-0000660D0000}"/>
    <cellStyle name="Heading 2 2 11" xfId="3517" xr:uid="{00000000-0005-0000-0000-0000670D0000}"/>
    <cellStyle name="Heading 2 2 12" xfId="3518" xr:uid="{00000000-0005-0000-0000-0000680D0000}"/>
    <cellStyle name="Heading 2 2 13" xfId="3519" xr:uid="{00000000-0005-0000-0000-0000690D0000}"/>
    <cellStyle name="Heading 2 2 14" xfId="3520" xr:uid="{00000000-0005-0000-0000-00006A0D0000}"/>
    <cellStyle name="Heading 2 2 15" xfId="3521" xr:uid="{00000000-0005-0000-0000-00006B0D0000}"/>
    <cellStyle name="Heading 2 2 16" xfId="3522" xr:uid="{00000000-0005-0000-0000-00006C0D0000}"/>
    <cellStyle name="Heading 2 2 2" xfId="3523" xr:uid="{00000000-0005-0000-0000-00006D0D0000}"/>
    <cellStyle name="Heading 2 2 2 10" xfId="3524" xr:uid="{00000000-0005-0000-0000-00006E0D0000}"/>
    <cellStyle name="Heading 2 2 2 11" xfId="3525" xr:uid="{00000000-0005-0000-0000-00006F0D0000}"/>
    <cellStyle name="Heading 2 2 2 12" xfId="3526" xr:uid="{00000000-0005-0000-0000-0000700D0000}"/>
    <cellStyle name="Heading 2 2 2 13" xfId="3527" xr:uid="{00000000-0005-0000-0000-0000710D0000}"/>
    <cellStyle name="Heading 2 2 2 14" xfId="3528" xr:uid="{00000000-0005-0000-0000-0000720D0000}"/>
    <cellStyle name="Heading 2 2 2 15" xfId="3529" xr:uid="{00000000-0005-0000-0000-0000730D0000}"/>
    <cellStyle name="Heading 2 2 2 2" xfId="3530" xr:uid="{00000000-0005-0000-0000-0000740D0000}"/>
    <cellStyle name="Heading 2 2 2 2 2" xfId="3531" xr:uid="{00000000-0005-0000-0000-0000750D0000}"/>
    <cellStyle name="Heading 2 2 2 2_Adjusted Bridge, ECS" xfId="11617" xr:uid="{1089993C-E686-488B-829F-F31D065E3922}"/>
    <cellStyle name="Heading 2 2 2 3" xfId="3532" xr:uid="{00000000-0005-0000-0000-0000760D0000}"/>
    <cellStyle name="Heading 2 2 2 4" xfId="3533" xr:uid="{00000000-0005-0000-0000-0000770D0000}"/>
    <cellStyle name="Heading 2 2 2 5" xfId="3534" xr:uid="{00000000-0005-0000-0000-0000780D0000}"/>
    <cellStyle name="Heading 2 2 2 6" xfId="3535" xr:uid="{00000000-0005-0000-0000-0000790D0000}"/>
    <cellStyle name="Heading 2 2 2 7" xfId="3536" xr:uid="{00000000-0005-0000-0000-00007A0D0000}"/>
    <cellStyle name="Heading 2 2 2 8" xfId="3537" xr:uid="{00000000-0005-0000-0000-00007B0D0000}"/>
    <cellStyle name="Heading 2 2 2 9" xfId="3538" xr:uid="{00000000-0005-0000-0000-00007C0D0000}"/>
    <cellStyle name="Heading 2 2 2_Adjusted Bridge, ECS" xfId="11618" xr:uid="{2F7ED4C8-C80B-4EBA-8EE3-E124C47D3358}"/>
    <cellStyle name="Heading 2 2 3" xfId="3539" xr:uid="{00000000-0005-0000-0000-00007E0D0000}"/>
    <cellStyle name="Heading 2 2 3 2" xfId="3540" xr:uid="{00000000-0005-0000-0000-00007F0D0000}"/>
    <cellStyle name="Heading 2 2 3_Adjusted Bridge, ECS" xfId="11619" xr:uid="{A0F73985-232D-4A16-A842-A4245F792FDE}"/>
    <cellStyle name="Heading 2 2 4" xfId="3541" xr:uid="{00000000-0005-0000-0000-0000810D0000}"/>
    <cellStyle name="Heading 2 2 4 2" xfId="3542" xr:uid="{00000000-0005-0000-0000-0000820D0000}"/>
    <cellStyle name="Heading 2 2 4_Adjusted Bridge, ECS" xfId="11620" xr:uid="{27A40B91-7762-46BD-A3B0-6B6C2FE24642}"/>
    <cellStyle name="Heading 2 2 5" xfId="3543" xr:uid="{00000000-0005-0000-0000-0000830D0000}"/>
    <cellStyle name="Heading 2 2 6" xfId="3544" xr:uid="{00000000-0005-0000-0000-0000840D0000}"/>
    <cellStyle name="Heading 2 2 7" xfId="3545" xr:uid="{00000000-0005-0000-0000-0000850D0000}"/>
    <cellStyle name="Heading 2 2 8" xfId="3546" xr:uid="{00000000-0005-0000-0000-0000860D0000}"/>
    <cellStyle name="Heading 2 2 8 2" xfId="3547" xr:uid="{00000000-0005-0000-0000-0000870D0000}"/>
    <cellStyle name="Heading 2 2 8_Adjusted Bridge, ECS" xfId="11621" xr:uid="{5391AB45-E60A-493E-8875-57BF64BF806D}"/>
    <cellStyle name="Heading 2 2 9" xfId="3548" xr:uid="{00000000-0005-0000-0000-0000890D0000}"/>
    <cellStyle name="Heading 2 2_Acq input" xfId="7697" xr:uid="{41B416BC-647A-489E-AFC7-814E064A26CA}"/>
    <cellStyle name="Heading 2 3" xfId="255" xr:uid="{00000000-0005-0000-0000-00008B0D0000}"/>
    <cellStyle name="Heading 2 3 2" xfId="3549" xr:uid="{00000000-0005-0000-0000-00008C0D0000}"/>
    <cellStyle name="Heading 2 3 2 2" xfId="3550" xr:uid="{00000000-0005-0000-0000-00008D0D0000}"/>
    <cellStyle name="Heading 2 3 2 3" xfId="3551" xr:uid="{00000000-0005-0000-0000-00008E0D0000}"/>
    <cellStyle name="Heading 2 3 2_Adjusted Bridge, ECS" xfId="11622" xr:uid="{37CAC8ED-99A9-43DC-B3BD-A3683139BCE4}"/>
    <cellStyle name="Heading 2 3 3" xfId="3552" xr:uid="{00000000-0005-0000-0000-0000900D0000}"/>
    <cellStyle name="Heading 2 3 3 2" xfId="3553" xr:uid="{00000000-0005-0000-0000-0000910D0000}"/>
    <cellStyle name="Heading 2 3 3_Adjusted Bridge, ECS" xfId="11623" xr:uid="{7351E763-BF7A-42D2-AE52-0ED8B077000E}"/>
    <cellStyle name="Heading 2 3 4" xfId="3554" xr:uid="{00000000-0005-0000-0000-0000930D0000}"/>
    <cellStyle name="Heading 2 3 5" xfId="3555" xr:uid="{00000000-0005-0000-0000-0000940D0000}"/>
    <cellStyle name="Heading 2 3 6" xfId="3556" xr:uid="{00000000-0005-0000-0000-0000950D0000}"/>
    <cellStyle name="Heading 2 3 7" xfId="3557" xr:uid="{00000000-0005-0000-0000-0000960D0000}"/>
    <cellStyle name="Heading 2 3 8" xfId="3558" xr:uid="{00000000-0005-0000-0000-0000970D0000}"/>
    <cellStyle name="Heading 2 3 9" xfId="3559" xr:uid="{00000000-0005-0000-0000-0000980D0000}"/>
    <cellStyle name="Heading 2 3_Adjusted Bridge, ECS" xfId="11624" xr:uid="{BFE9221D-D581-4529-B4CF-8DE9073389D1}"/>
    <cellStyle name="Heading 2 4" xfId="256" xr:uid="{00000000-0005-0000-0000-00009A0D0000}"/>
    <cellStyle name="Heading 2 4 2" xfId="3560" xr:uid="{00000000-0005-0000-0000-00009B0D0000}"/>
    <cellStyle name="Heading 2 4_Adjusted Bridge, ECS" xfId="11625" xr:uid="{E78D5D0C-E123-46A0-BB97-DC6D57B8BAEF}"/>
    <cellStyle name="Heading 2 5" xfId="257" xr:uid="{00000000-0005-0000-0000-00009D0D0000}"/>
    <cellStyle name="Heading 2 6" xfId="3561" xr:uid="{00000000-0005-0000-0000-00009E0D0000}"/>
    <cellStyle name="Heading 2 7" xfId="3562" xr:uid="{00000000-0005-0000-0000-00009F0D0000}"/>
    <cellStyle name="Heading 2 8" xfId="3563" xr:uid="{00000000-0005-0000-0000-0000A00D0000}"/>
    <cellStyle name="Heading 2 9" xfId="3564" xr:uid="{00000000-0005-0000-0000-0000A10D0000}"/>
    <cellStyle name="Heading 3 10" xfId="3565" xr:uid="{00000000-0005-0000-0000-0000A20D0000}"/>
    <cellStyle name="Heading 3 11" xfId="3566" xr:uid="{00000000-0005-0000-0000-0000A30D0000}"/>
    <cellStyle name="Heading 3 12" xfId="3567" xr:uid="{00000000-0005-0000-0000-0000A40D0000}"/>
    <cellStyle name="Heading 3 13" xfId="3568" xr:uid="{00000000-0005-0000-0000-0000A50D0000}"/>
    <cellStyle name="Heading 3 2" xfId="258" xr:uid="{00000000-0005-0000-0000-0000A60D0000}"/>
    <cellStyle name="Heading 3 2 10" xfId="3569" xr:uid="{00000000-0005-0000-0000-0000A70D0000}"/>
    <cellStyle name="Heading 3 2 11" xfId="3570" xr:uid="{00000000-0005-0000-0000-0000A80D0000}"/>
    <cellStyle name="Heading 3 2 12" xfId="3571" xr:uid="{00000000-0005-0000-0000-0000A90D0000}"/>
    <cellStyle name="Heading 3 2 13" xfId="3572" xr:uid="{00000000-0005-0000-0000-0000AA0D0000}"/>
    <cellStyle name="Heading 3 2 14" xfId="3573" xr:uid="{00000000-0005-0000-0000-0000AB0D0000}"/>
    <cellStyle name="Heading 3 2 15" xfId="3574" xr:uid="{00000000-0005-0000-0000-0000AC0D0000}"/>
    <cellStyle name="Heading 3 2 16" xfId="3575" xr:uid="{00000000-0005-0000-0000-0000AD0D0000}"/>
    <cellStyle name="Heading 3 2 2" xfId="3576" xr:uid="{00000000-0005-0000-0000-0000AE0D0000}"/>
    <cellStyle name="Heading 3 2 2 10" xfId="3577" xr:uid="{00000000-0005-0000-0000-0000AF0D0000}"/>
    <cellStyle name="Heading 3 2 2 11" xfId="3578" xr:uid="{00000000-0005-0000-0000-0000B00D0000}"/>
    <cellStyle name="Heading 3 2 2 12" xfId="3579" xr:uid="{00000000-0005-0000-0000-0000B10D0000}"/>
    <cellStyle name="Heading 3 2 2 13" xfId="3580" xr:uid="{00000000-0005-0000-0000-0000B20D0000}"/>
    <cellStyle name="Heading 3 2 2 14" xfId="3581" xr:uid="{00000000-0005-0000-0000-0000B30D0000}"/>
    <cellStyle name="Heading 3 2 2 15" xfId="3582" xr:uid="{00000000-0005-0000-0000-0000B40D0000}"/>
    <cellStyle name="Heading 3 2 2 2" xfId="3583" xr:uid="{00000000-0005-0000-0000-0000B50D0000}"/>
    <cellStyle name="Heading 3 2 2 2 2" xfId="3584" xr:uid="{00000000-0005-0000-0000-0000B60D0000}"/>
    <cellStyle name="Heading 3 2 2 2_Adjusted Bridge, ECS" xfId="11626" xr:uid="{8FC4D2C2-F8A3-46F7-B78C-127189A49637}"/>
    <cellStyle name="Heading 3 2 2 3" xfId="3585" xr:uid="{00000000-0005-0000-0000-0000B70D0000}"/>
    <cellStyle name="Heading 3 2 2 4" xfId="3586" xr:uid="{00000000-0005-0000-0000-0000B80D0000}"/>
    <cellStyle name="Heading 3 2 2 5" xfId="3587" xr:uid="{00000000-0005-0000-0000-0000B90D0000}"/>
    <cellStyle name="Heading 3 2 2 6" xfId="3588" xr:uid="{00000000-0005-0000-0000-0000BA0D0000}"/>
    <cellStyle name="Heading 3 2 2 7" xfId="3589" xr:uid="{00000000-0005-0000-0000-0000BB0D0000}"/>
    <cellStyle name="Heading 3 2 2 8" xfId="3590" xr:uid="{00000000-0005-0000-0000-0000BC0D0000}"/>
    <cellStyle name="Heading 3 2 2 9" xfId="3591" xr:uid="{00000000-0005-0000-0000-0000BD0D0000}"/>
    <cellStyle name="Heading 3 2 2_Adjusted Bridge, ECS" xfId="11627" xr:uid="{DD5B46E7-C7A7-43AB-ABBE-E66A337CF403}"/>
    <cellStyle name="Heading 3 2 3" xfId="3592" xr:uid="{00000000-0005-0000-0000-0000BF0D0000}"/>
    <cellStyle name="Heading 3 2 3 2" xfId="3593" xr:uid="{00000000-0005-0000-0000-0000C00D0000}"/>
    <cellStyle name="Heading 3 2 3_Adjusted Bridge, ECS" xfId="11628" xr:uid="{FAD96EDC-6AF3-4060-81BD-C60B2D88E6D9}"/>
    <cellStyle name="Heading 3 2 4" xfId="3594" xr:uid="{00000000-0005-0000-0000-0000C20D0000}"/>
    <cellStyle name="Heading 3 2 4 2" xfId="3595" xr:uid="{00000000-0005-0000-0000-0000C30D0000}"/>
    <cellStyle name="Heading 3 2 4_Adjusted Bridge, ECS" xfId="11629" xr:uid="{81A19A71-159B-42AF-A4AB-F9DA19AAC26D}"/>
    <cellStyle name="Heading 3 2 5" xfId="3596" xr:uid="{00000000-0005-0000-0000-0000C40D0000}"/>
    <cellStyle name="Heading 3 2 6" xfId="3597" xr:uid="{00000000-0005-0000-0000-0000C50D0000}"/>
    <cellStyle name="Heading 3 2 7" xfId="3598" xr:uid="{00000000-0005-0000-0000-0000C60D0000}"/>
    <cellStyle name="Heading 3 2 8" xfId="3599" xr:uid="{00000000-0005-0000-0000-0000C70D0000}"/>
    <cellStyle name="Heading 3 2 8 2" xfId="3600" xr:uid="{00000000-0005-0000-0000-0000C80D0000}"/>
    <cellStyle name="Heading 3 2 8_Adjusted Bridge, ECS" xfId="11630" xr:uid="{B12803C5-991E-4E7D-A4AC-E6722C637AF3}"/>
    <cellStyle name="Heading 3 2 9" xfId="3601" xr:uid="{00000000-0005-0000-0000-0000CA0D0000}"/>
    <cellStyle name="Heading 3 2_Acq input" xfId="7698" xr:uid="{00010771-EDE4-4EC5-A49B-03487B1B2394}"/>
    <cellStyle name="Heading 3 3" xfId="259" xr:uid="{00000000-0005-0000-0000-0000CC0D0000}"/>
    <cellStyle name="Heading 3 3 10" xfId="3602" xr:uid="{00000000-0005-0000-0000-0000CD0D0000}"/>
    <cellStyle name="Heading 3 3 2" xfId="3603" xr:uid="{00000000-0005-0000-0000-0000CE0D0000}"/>
    <cellStyle name="Heading 3 3 2 2" xfId="3604" xr:uid="{00000000-0005-0000-0000-0000CF0D0000}"/>
    <cellStyle name="Heading 3 3 2 3" xfId="3605" xr:uid="{00000000-0005-0000-0000-0000D00D0000}"/>
    <cellStyle name="Heading 3 3 2_Adjusted Bridge, ECS" xfId="11631" xr:uid="{80F58940-0CCA-40E8-A6D4-439AB0E10368}"/>
    <cellStyle name="Heading 3 3 3" xfId="3606" xr:uid="{00000000-0005-0000-0000-0000D20D0000}"/>
    <cellStyle name="Heading 3 3 3 2" xfId="3607" xr:uid="{00000000-0005-0000-0000-0000D30D0000}"/>
    <cellStyle name="Heading 3 3 3_Adjusted Bridge, ECS" xfId="11632" xr:uid="{1CD49B7F-95E8-4A7C-B46C-C0A6C410ED42}"/>
    <cellStyle name="Heading 3 3 4" xfId="3608" xr:uid="{00000000-0005-0000-0000-0000D50D0000}"/>
    <cellStyle name="Heading 3 3 5" xfId="3609" xr:uid="{00000000-0005-0000-0000-0000D60D0000}"/>
    <cellStyle name="Heading 3 3 6" xfId="3610" xr:uid="{00000000-0005-0000-0000-0000D70D0000}"/>
    <cellStyle name="Heading 3 3 7" xfId="3611" xr:uid="{00000000-0005-0000-0000-0000D80D0000}"/>
    <cellStyle name="Heading 3 3 8" xfId="3612" xr:uid="{00000000-0005-0000-0000-0000D90D0000}"/>
    <cellStyle name="Heading 3 3 9" xfId="3613" xr:uid="{00000000-0005-0000-0000-0000DA0D0000}"/>
    <cellStyle name="Heading 3 3_Adjusted Bridge, ECS" xfId="11633" xr:uid="{B370A75D-4CD7-49F2-95F0-9CC2AC5E3219}"/>
    <cellStyle name="Heading 3 4" xfId="260" xr:uid="{00000000-0005-0000-0000-0000DC0D0000}"/>
    <cellStyle name="Heading 3 4 2" xfId="3614" xr:uid="{00000000-0005-0000-0000-0000DD0D0000}"/>
    <cellStyle name="Heading 3 4_Adjusted Bridge, ECS" xfId="11634" xr:uid="{D993E597-DFE5-411B-9870-E59BCCDC6F62}"/>
    <cellStyle name="Heading 3 5" xfId="261" xr:uid="{00000000-0005-0000-0000-0000DF0D0000}"/>
    <cellStyle name="Heading 3 6" xfId="3615" xr:uid="{00000000-0005-0000-0000-0000E00D0000}"/>
    <cellStyle name="Heading 3 7" xfId="3616" xr:uid="{00000000-0005-0000-0000-0000E10D0000}"/>
    <cellStyle name="Heading 3 8" xfId="3617" xr:uid="{00000000-0005-0000-0000-0000E20D0000}"/>
    <cellStyle name="Heading 3 9" xfId="3618" xr:uid="{00000000-0005-0000-0000-0000E30D0000}"/>
    <cellStyle name="Heading 4 10" xfId="3619" xr:uid="{00000000-0005-0000-0000-0000E40D0000}"/>
    <cellStyle name="Heading 4 11" xfId="3620" xr:uid="{00000000-0005-0000-0000-0000E50D0000}"/>
    <cellStyle name="Heading 4 12" xfId="3621" xr:uid="{00000000-0005-0000-0000-0000E60D0000}"/>
    <cellStyle name="Heading 4 13" xfId="3622" xr:uid="{00000000-0005-0000-0000-0000E70D0000}"/>
    <cellStyle name="Heading 4 2" xfId="262" xr:uid="{00000000-0005-0000-0000-0000E80D0000}"/>
    <cellStyle name="Heading 4 2 10" xfId="3623" xr:uid="{00000000-0005-0000-0000-0000E90D0000}"/>
    <cellStyle name="Heading 4 2 11" xfId="3624" xr:uid="{00000000-0005-0000-0000-0000EA0D0000}"/>
    <cellStyle name="Heading 4 2 12" xfId="3625" xr:uid="{00000000-0005-0000-0000-0000EB0D0000}"/>
    <cellStyle name="Heading 4 2 13" xfId="3626" xr:uid="{00000000-0005-0000-0000-0000EC0D0000}"/>
    <cellStyle name="Heading 4 2 14" xfId="3627" xr:uid="{00000000-0005-0000-0000-0000ED0D0000}"/>
    <cellStyle name="Heading 4 2 15" xfId="3628" xr:uid="{00000000-0005-0000-0000-0000EE0D0000}"/>
    <cellStyle name="Heading 4 2 2" xfId="3629" xr:uid="{00000000-0005-0000-0000-0000EF0D0000}"/>
    <cellStyle name="Heading 4 2 2 10" xfId="3630" xr:uid="{00000000-0005-0000-0000-0000F00D0000}"/>
    <cellStyle name="Heading 4 2 2 11" xfId="3631" xr:uid="{00000000-0005-0000-0000-0000F10D0000}"/>
    <cellStyle name="Heading 4 2 2 12" xfId="3632" xr:uid="{00000000-0005-0000-0000-0000F20D0000}"/>
    <cellStyle name="Heading 4 2 2 2" xfId="3633" xr:uid="{00000000-0005-0000-0000-0000F30D0000}"/>
    <cellStyle name="Heading 4 2 2 3" xfId="3634" xr:uid="{00000000-0005-0000-0000-0000F40D0000}"/>
    <cellStyle name="Heading 4 2 2 4" xfId="3635" xr:uid="{00000000-0005-0000-0000-0000F50D0000}"/>
    <cellStyle name="Heading 4 2 2 5" xfId="3636" xr:uid="{00000000-0005-0000-0000-0000F60D0000}"/>
    <cellStyle name="Heading 4 2 2 6" xfId="3637" xr:uid="{00000000-0005-0000-0000-0000F70D0000}"/>
    <cellStyle name="Heading 4 2 2 7" xfId="3638" xr:uid="{00000000-0005-0000-0000-0000F80D0000}"/>
    <cellStyle name="Heading 4 2 2 8" xfId="3639" xr:uid="{00000000-0005-0000-0000-0000F90D0000}"/>
    <cellStyle name="Heading 4 2 2 9" xfId="3640" xr:uid="{00000000-0005-0000-0000-0000FA0D0000}"/>
    <cellStyle name="Heading 4 2 2_Adjusted Bridge, ECS" xfId="11635" xr:uid="{1A9709C8-0F57-49E4-96A3-C953DCEAD8B0}"/>
    <cellStyle name="Heading 4 2 3" xfId="3641" xr:uid="{00000000-0005-0000-0000-0000FC0D0000}"/>
    <cellStyle name="Heading 4 2 3 2" xfId="3642" xr:uid="{00000000-0005-0000-0000-0000FD0D0000}"/>
    <cellStyle name="Heading 4 2 3_Adjusted Bridge, ECS" xfId="11636" xr:uid="{77FF964E-7809-4493-A34B-73AEBCEE3E87}"/>
    <cellStyle name="Heading 4 2 4" xfId="3643" xr:uid="{00000000-0005-0000-0000-0000FF0D0000}"/>
    <cellStyle name="Heading 4 2 4 2" xfId="3644" xr:uid="{00000000-0005-0000-0000-0000000E0000}"/>
    <cellStyle name="Heading 4 2 4_Adjusted Bridge, ECS" xfId="11637" xr:uid="{2A7FAC09-F314-4C34-80E2-B2E4BC49366F}"/>
    <cellStyle name="Heading 4 2 5" xfId="3645" xr:uid="{00000000-0005-0000-0000-0000010E0000}"/>
    <cellStyle name="Heading 4 2 6" xfId="3646" xr:uid="{00000000-0005-0000-0000-0000020E0000}"/>
    <cellStyle name="Heading 4 2 7" xfId="3647" xr:uid="{00000000-0005-0000-0000-0000030E0000}"/>
    <cellStyle name="Heading 4 2 8" xfId="3648" xr:uid="{00000000-0005-0000-0000-0000040E0000}"/>
    <cellStyle name="Heading 4 2 8 2" xfId="3649" xr:uid="{00000000-0005-0000-0000-0000050E0000}"/>
    <cellStyle name="Heading 4 2 8_Adjusted Bridge, ECS" xfId="11638" xr:uid="{7855C874-B8C9-4957-BC69-E5307C1A3DDF}"/>
    <cellStyle name="Heading 4 2 9" xfId="3650" xr:uid="{00000000-0005-0000-0000-0000070E0000}"/>
    <cellStyle name="Heading 4 2_Adjusted Bridge, ECS" xfId="11639" xr:uid="{248EE3D3-6FBA-4F2B-A2E8-C354012FE4D0}"/>
    <cellStyle name="Heading 4 3" xfId="263" xr:uid="{00000000-0005-0000-0000-0000090E0000}"/>
    <cellStyle name="Heading 4 3 2" xfId="3651" xr:uid="{00000000-0005-0000-0000-00000A0E0000}"/>
    <cellStyle name="Heading 4 3 2 2" xfId="3652" xr:uid="{00000000-0005-0000-0000-00000B0E0000}"/>
    <cellStyle name="Heading 4 3 2_Adjusted Bridge, ECS" xfId="11640" xr:uid="{08B30F59-9679-4765-81DD-033EE54FE4B4}"/>
    <cellStyle name="Heading 4 3 3" xfId="3653" xr:uid="{00000000-0005-0000-0000-00000C0E0000}"/>
    <cellStyle name="Heading 4 3 3 2" xfId="3654" xr:uid="{00000000-0005-0000-0000-00000D0E0000}"/>
    <cellStyle name="Heading 4 3 3_Adjusted Bridge, ECS" xfId="11641" xr:uid="{862EB282-7CBC-4D21-86E6-BAD6670F0C3A}"/>
    <cellStyle name="Heading 4 3 4" xfId="3655" xr:uid="{00000000-0005-0000-0000-00000E0E0000}"/>
    <cellStyle name="Heading 4 3 5" xfId="3656" xr:uid="{00000000-0005-0000-0000-00000F0E0000}"/>
    <cellStyle name="Heading 4 3 6" xfId="3657" xr:uid="{00000000-0005-0000-0000-0000100E0000}"/>
    <cellStyle name="Heading 4 3 7" xfId="3658" xr:uid="{00000000-0005-0000-0000-0000110E0000}"/>
    <cellStyle name="Heading 4 3 8" xfId="3659" xr:uid="{00000000-0005-0000-0000-0000120E0000}"/>
    <cellStyle name="Heading 4 3_Adjusted Bridge, ECS" xfId="11642" xr:uid="{CBBB798E-6CED-43F0-9FB8-B976B0E73495}"/>
    <cellStyle name="Heading 4 4" xfId="264" xr:uid="{00000000-0005-0000-0000-0000140E0000}"/>
    <cellStyle name="Heading 4 4 2" xfId="3660" xr:uid="{00000000-0005-0000-0000-0000150E0000}"/>
    <cellStyle name="Heading 4 4_Adjusted Bridge, ECS" xfId="11643" xr:uid="{57E33E3B-20BA-49C9-A01D-320C5B80072E}"/>
    <cellStyle name="Heading 4 5" xfId="265" xr:uid="{00000000-0005-0000-0000-0000170E0000}"/>
    <cellStyle name="Heading 4 6" xfId="3661" xr:uid="{00000000-0005-0000-0000-0000180E0000}"/>
    <cellStyle name="Heading 4 7" xfId="3662" xr:uid="{00000000-0005-0000-0000-0000190E0000}"/>
    <cellStyle name="Heading 4 8" xfId="3663" xr:uid="{00000000-0005-0000-0000-00001A0E0000}"/>
    <cellStyle name="Heading 4 9" xfId="3664" xr:uid="{00000000-0005-0000-0000-00001B0E0000}"/>
    <cellStyle name="HEADING1" xfId="11098" xr:uid="{037158AB-67B9-487C-B014-11C91C408A79}"/>
    <cellStyle name="HEADING2" xfId="11099" xr:uid="{017BA5D5-A937-4259-8A23-6A42F74FC8B5}"/>
    <cellStyle name="heading3" xfId="3665" xr:uid="{00000000-0005-0000-0000-00001C0E0000}"/>
    <cellStyle name="Huvud indata" xfId="266" xr:uid="{00000000-0005-0000-0000-00001D0E0000}"/>
    <cellStyle name="Hyperlink" xfId="522" builtinId="8"/>
    <cellStyle name="Hyperlink 2" xfId="267" xr:uid="{00000000-0005-0000-0000-00001F0E0000}"/>
    <cellStyle name="Hyperlink 2 2" xfId="7699" xr:uid="{886BFD66-408C-4B00-B081-3B67338F3CEA}"/>
    <cellStyle name="Hyperlink 2 2 2" xfId="7700" xr:uid="{CA63FD24-9CC8-4A0A-AA95-E83CBB0B69BF}"/>
    <cellStyle name="Hyperlink 2 2 3" xfId="7701" xr:uid="{7B5A43B3-AE8B-4EC1-8064-33397DD43443}"/>
    <cellStyle name="Hyperlink 2 2_Adjusted bridges" xfId="11644" xr:uid="{40704CDA-3865-4387-97D0-0A6F97169584}"/>
    <cellStyle name="Hyperlink 2 3" xfId="7702" xr:uid="{7AAAF4E1-205E-48A2-84F7-F9BC91ACC81D}"/>
    <cellStyle name="Hyperlink 2_Adjusted Bridge, ECS" xfId="11645" xr:uid="{6D440964-44F6-4A66-9790-86C5AF569BFB}"/>
    <cellStyle name="Hyperlink 3" xfId="268" xr:uid="{00000000-0005-0000-0000-0000200E0000}"/>
    <cellStyle name="Hyperlink 4" xfId="3666" xr:uid="{00000000-0005-0000-0000-0000210E0000}"/>
    <cellStyle name="Incorrecto" xfId="7703" xr:uid="{944B8333-2B01-49B3-9139-802EC06C8846}"/>
    <cellStyle name="Incorreto" xfId="7704" xr:uid="{0DA1AD8F-1A4E-4AF9-88A1-55E809BB3A70}"/>
    <cellStyle name="Indata" xfId="269" xr:uid="{00000000-0005-0000-0000-0000220E0000}"/>
    <cellStyle name="Indata 14" xfId="270" xr:uid="{00000000-0005-0000-0000-0000230E0000}"/>
    <cellStyle name="Indata 14 2" xfId="3667" xr:uid="{00000000-0005-0000-0000-0000240E0000}"/>
    <cellStyle name="Indata 14_Adjusted Bridge, ECS" xfId="11646" xr:uid="{AAA26A26-5718-4098-A2B1-A28EE0AB20A4}"/>
    <cellStyle name="Indata 2" xfId="271" xr:uid="{00000000-0005-0000-0000-0000250E0000}"/>
    <cellStyle name="Indata 3" xfId="272" xr:uid="{00000000-0005-0000-0000-0000260E0000}"/>
    <cellStyle name="Indata text 11" xfId="273" xr:uid="{00000000-0005-0000-0000-0000270E0000}"/>
    <cellStyle name="Indata text 12" xfId="274" xr:uid="{00000000-0005-0000-0000-0000280E0000}"/>
    <cellStyle name="Indata_1 KeyFig" xfId="3668" xr:uid="{00000000-0005-0000-0000-0000290E0000}"/>
    <cellStyle name="Input [yellow]" xfId="275" xr:uid="{00000000-0005-0000-0000-00002A0E0000}"/>
    <cellStyle name="Input [yellow] 2" xfId="3669" xr:uid="{00000000-0005-0000-0000-00002B0E0000}"/>
    <cellStyle name="Input [yellow] 3" xfId="7705" xr:uid="{9161FC07-3C52-4350-9BE4-02DFF85524B5}"/>
    <cellStyle name="Input [yellow]_Adjusted Bridge, ECS" xfId="11647" xr:uid="{7D1BFC59-3B52-47F0-BDC5-8FC9CF481817}"/>
    <cellStyle name="Input 10" xfId="3670" xr:uid="{00000000-0005-0000-0000-00002C0E0000}"/>
    <cellStyle name="Input 11" xfId="3671" xr:uid="{00000000-0005-0000-0000-00002D0E0000}"/>
    <cellStyle name="Input 12" xfId="3672" xr:uid="{00000000-0005-0000-0000-00002E0E0000}"/>
    <cellStyle name="Input 13" xfId="3673" xr:uid="{00000000-0005-0000-0000-00002F0E0000}"/>
    <cellStyle name="Input 14" xfId="3674" xr:uid="{00000000-0005-0000-0000-0000300E0000}"/>
    <cellStyle name="Input 15" xfId="3675" xr:uid="{00000000-0005-0000-0000-0000310E0000}"/>
    <cellStyle name="Input 16" xfId="3676" xr:uid="{00000000-0005-0000-0000-0000320E0000}"/>
    <cellStyle name="Input 17" xfId="3677" xr:uid="{00000000-0005-0000-0000-0000330E0000}"/>
    <cellStyle name="Input 18" xfId="3678" xr:uid="{00000000-0005-0000-0000-0000340E0000}"/>
    <cellStyle name="Input 19" xfId="3679" xr:uid="{00000000-0005-0000-0000-0000350E0000}"/>
    <cellStyle name="Input 2" xfId="276" xr:uid="{00000000-0005-0000-0000-0000360E0000}"/>
    <cellStyle name="Input 2 10" xfId="3680" xr:uid="{00000000-0005-0000-0000-0000370E0000}"/>
    <cellStyle name="Input 2 11" xfId="3681" xr:uid="{00000000-0005-0000-0000-0000380E0000}"/>
    <cellStyle name="Input 2 12" xfId="3682" xr:uid="{00000000-0005-0000-0000-0000390E0000}"/>
    <cellStyle name="Input 2 13" xfId="3683" xr:uid="{00000000-0005-0000-0000-00003A0E0000}"/>
    <cellStyle name="Input 2 14" xfId="3684" xr:uid="{00000000-0005-0000-0000-00003B0E0000}"/>
    <cellStyle name="Input 2 15" xfId="3685" xr:uid="{00000000-0005-0000-0000-00003C0E0000}"/>
    <cellStyle name="Input 2 16" xfId="3686" xr:uid="{00000000-0005-0000-0000-00003D0E0000}"/>
    <cellStyle name="Input 2 2" xfId="3687" xr:uid="{00000000-0005-0000-0000-00003E0E0000}"/>
    <cellStyle name="Input 2 2 10" xfId="3688" xr:uid="{00000000-0005-0000-0000-00003F0E0000}"/>
    <cellStyle name="Input 2 2 11" xfId="3689" xr:uid="{00000000-0005-0000-0000-0000400E0000}"/>
    <cellStyle name="Input 2 2 12" xfId="3690" xr:uid="{00000000-0005-0000-0000-0000410E0000}"/>
    <cellStyle name="Input 2 2 13" xfId="3691" xr:uid="{00000000-0005-0000-0000-0000420E0000}"/>
    <cellStyle name="Input 2 2 14" xfId="3692" xr:uid="{00000000-0005-0000-0000-0000430E0000}"/>
    <cellStyle name="Input 2 2 15" xfId="3693" xr:uid="{00000000-0005-0000-0000-0000440E0000}"/>
    <cellStyle name="Input 2 2 2" xfId="3694" xr:uid="{00000000-0005-0000-0000-0000450E0000}"/>
    <cellStyle name="Input 2 2 3" xfId="3695" xr:uid="{00000000-0005-0000-0000-0000460E0000}"/>
    <cellStyle name="Input 2 2 4" xfId="3696" xr:uid="{00000000-0005-0000-0000-0000470E0000}"/>
    <cellStyle name="Input 2 2 5" xfId="3697" xr:uid="{00000000-0005-0000-0000-0000480E0000}"/>
    <cellStyle name="Input 2 2 6" xfId="3698" xr:uid="{00000000-0005-0000-0000-0000490E0000}"/>
    <cellStyle name="Input 2 2 7" xfId="3699" xr:uid="{00000000-0005-0000-0000-00004A0E0000}"/>
    <cellStyle name="Input 2 2 8" xfId="3700" xr:uid="{00000000-0005-0000-0000-00004B0E0000}"/>
    <cellStyle name="Input 2 2 9" xfId="3701" xr:uid="{00000000-0005-0000-0000-00004C0E0000}"/>
    <cellStyle name="Input 2 2_Adjusted Bridge, ECS" xfId="11648" xr:uid="{66ECE26A-F890-4349-9EC9-88DF63E1D9C4}"/>
    <cellStyle name="Input 2 3" xfId="3702" xr:uid="{00000000-0005-0000-0000-00004E0E0000}"/>
    <cellStyle name="Input 2 3 2" xfId="3703" xr:uid="{00000000-0005-0000-0000-00004F0E0000}"/>
    <cellStyle name="Input 2 3_Adjusted Bridge, ECS" xfId="11649" xr:uid="{0ED08E14-816B-42F7-9576-DD64217D8742}"/>
    <cellStyle name="Input 2 4" xfId="3704" xr:uid="{00000000-0005-0000-0000-0000510E0000}"/>
    <cellStyle name="Input 2 4 2" xfId="3705" xr:uid="{00000000-0005-0000-0000-0000520E0000}"/>
    <cellStyle name="Input 2 4_Adjusted Bridge, ECS" xfId="11650" xr:uid="{95F07D52-8BA3-49C5-9B01-72F0A80BC3CB}"/>
    <cellStyle name="Input 2 5" xfId="3706" xr:uid="{00000000-0005-0000-0000-0000530E0000}"/>
    <cellStyle name="Input 2 6" xfId="3707" xr:uid="{00000000-0005-0000-0000-0000540E0000}"/>
    <cellStyle name="Input 2 7" xfId="3708" xr:uid="{00000000-0005-0000-0000-0000550E0000}"/>
    <cellStyle name="Input 2 8" xfId="3709" xr:uid="{00000000-0005-0000-0000-0000560E0000}"/>
    <cellStyle name="Input 2 9" xfId="3710" xr:uid="{00000000-0005-0000-0000-0000570E0000}"/>
    <cellStyle name="Input 2_Acq input" xfId="7706" xr:uid="{5BA6AB79-FBA9-4F27-AF57-9E0C8ED41EE2}"/>
    <cellStyle name="Input 20" xfId="7707" xr:uid="{F683C675-42C4-4EEC-A573-1B41B55E33E1}"/>
    <cellStyle name="Input 21" xfId="7708" xr:uid="{4B8F8D4D-0123-4321-8263-4B921B5B0A09}"/>
    <cellStyle name="Input 22" xfId="7709" xr:uid="{1AF9BC6E-3BBA-48D0-8B7F-D8B6ACDFEB9B}"/>
    <cellStyle name="Input 23" xfId="7710" xr:uid="{EBD3FA4E-9D2B-4460-AFC2-25D13794C241}"/>
    <cellStyle name="Input 24" xfId="7711" xr:uid="{112B6117-0A50-42A8-A2C7-FA02D3DAD8BF}"/>
    <cellStyle name="Input 25" xfId="7712" xr:uid="{26F91E4A-4A6F-4F3F-AD61-8484F19FAC8A}"/>
    <cellStyle name="Input 26" xfId="7713" xr:uid="{4A69FFBA-4E40-4AE8-AAD8-21F985F1B961}"/>
    <cellStyle name="Input 27" xfId="7714" xr:uid="{617BB1F5-4FCB-4680-83B5-D23E287C0DCB}"/>
    <cellStyle name="Input 28" xfId="7715" xr:uid="{9BF56226-5B01-4ED2-B9A2-96483EC2D57B}"/>
    <cellStyle name="Input 29" xfId="7716" xr:uid="{0737194A-ACFD-4E16-9D3E-025A8C7DC177}"/>
    <cellStyle name="Input 3" xfId="277" xr:uid="{00000000-0005-0000-0000-0000590E0000}"/>
    <cellStyle name="Input 3 2" xfId="3711" xr:uid="{00000000-0005-0000-0000-00005A0E0000}"/>
    <cellStyle name="Input 3 3" xfId="3712" xr:uid="{00000000-0005-0000-0000-00005B0E0000}"/>
    <cellStyle name="Input 3 4" xfId="3713" xr:uid="{00000000-0005-0000-0000-00005C0E0000}"/>
    <cellStyle name="Input 3 5" xfId="3714" xr:uid="{00000000-0005-0000-0000-00005D0E0000}"/>
    <cellStyle name="Input 3 6" xfId="3715" xr:uid="{00000000-0005-0000-0000-00005E0E0000}"/>
    <cellStyle name="Input 3 7" xfId="3716" xr:uid="{00000000-0005-0000-0000-00005F0E0000}"/>
    <cellStyle name="Input 3 8" xfId="3717" xr:uid="{00000000-0005-0000-0000-0000600E0000}"/>
    <cellStyle name="Input 3 9" xfId="3718" xr:uid="{00000000-0005-0000-0000-0000610E0000}"/>
    <cellStyle name="Input 3_Adjusted Bridge, ECS" xfId="11651" xr:uid="{5E30CD6E-2994-4BE9-B682-B10B5A453027}"/>
    <cellStyle name="Input 30" xfId="7717" xr:uid="{0C439032-6A69-4DE1-9E65-53CFAFB6A6C8}"/>
    <cellStyle name="Input 31" xfId="7718" xr:uid="{C9A852EF-BA75-4785-B34D-2B296E1CFBA8}"/>
    <cellStyle name="Input 32" xfId="7719" xr:uid="{13E17384-E327-4282-A1D5-AE245DE26E0E}"/>
    <cellStyle name="Input 33" xfId="7720" xr:uid="{4FC09349-9FC8-4C77-91BA-1C0A24EF391C}"/>
    <cellStyle name="Input 34" xfId="7721" xr:uid="{79496F2A-EF06-4379-AB09-B8686B0A1458}"/>
    <cellStyle name="Input 35" xfId="7722" xr:uid="{1D27BEA8-FF86-4DA5-982F-6C76E2468BBC}"/>
    <cellStyle name="Input 36" xfId="7723" xr:uid="{EC3A71AE-FE30-43CA-B2A6-4F5BD4B13ADA}"/>
    <cellStyle name="Input 37" xfId="7724" xr:uid="{4DCCA68C-BF97-4A57-BC5C-10AB703544AF}"/>
    <cellStyle name="Input 38" xfId="7725" xr:uid="{E6A3518D-B74F-4DD1-9ECB-BDDED3F4E43F}"/>
    <cellStyle name="Input 39" xfId="7726" xr:uid="{7C80409A-F4A7-4E7B-9AB3-6EB799AB397C}"/>
    <cellStyle name="Input 4" xfId="278" xr:uid="{00000000-0005-0000-0000-0000630E0000}"/>
    <cellStyle name="Input 4 2" xfId="3719" xr:uid="{00000000-0005-0000-0000-0000640E0000}"/>
    <cellStyle name="Input 4_Adjusted Bridge, ECS" xfId="11652" xr:uid="{F2FC86A9-8207-4417-B5A2-8A99B7910361}"/>
    <cellStyle name="Input 40" xfId="7727" xr:uid="{02240F1E-CC75-446B-9A55-25ADAB0014CB}"/>
    <cellStyle name="Input 41" xfId="7728" xr:uid="{066BE092-4D33-4AFC-866B-C39D41D53CBA}"/>
    <cellStyle name="Input 42" xfId="7729" xr:uid="{366E6E9C-7208-433D-B7CD-696B92A36935}"/>
    <cellStyle name="Input 43" xfId="7730" xr:uid="{EBD52F17-10D8-4B43-A089-23E881F93B0A}"/>
    <cellStyle name="Input 44" xfId="7731" xr:uid="{03DCF553-46A6-4582-B252-DB42316F2C2F}"/>
    <cellStyle name="Input 45" xfId="7732" xr:uid="{1E08F392-D4F2-4285-9C1E-EE6E113DB970}"/>
    <cellStyle name="Input 46" xfId="7733" xr:uid="{C8FC3E8D-DD07-4216-A631-E02D2DA3592C}"/>
    <cellStyle name="Input 47" xfId="7734" xr:uid="{EF22222E-5C88-4763-BC19-FC415848873E}"/>
    <cellStyle name="Input 48" xfId="7735" xr:uid="{E928BD6E-03A1-4AD4-95E4-E32FF166F161}"/>
    <cellStyle name="Input 49" xfId="7736" xr:uid="{7AC38835-424E-4A14-AAEC-2C603AC85975}"/>
    <cellStyle name="Input 5" xfId="279" xr:uid="{00000000-0005-0000-0000-0000660E0000}"/>
    <cellStyle name="Input 50" xfId="7737" xr:uid="{466BAB24-EA73-44FD-B440-D15394F90A4B}"/>
    <cellStyle name="Input 51" xfId="7738" xr:uid="{96C6CA37-3D7C-4CB8-A966-EB47140BF3D6}"/>
    <cellStyle name="Input 52" xfId="7739" xr:uid="{BBCFDBE8-8DD1-464D-84E0-66BAACD28FFD}"/>
    <cellStyle name="Input 53" xfId="7740" xr:uid="{797FFAD3-C6EC-4D7C-A45A-AABAFF212971}"/>
    <cellStyle name="Input 54" xfId="7741" xr:uid="{8C251014-F659-4214-8943-60E3A33974F3}"/>
    <cellStyle name="Input 55" xfId="7742" xr:uid="{6BB8C90E-0AF7-4B78-BFAB-262B54A73555}"/>
    <cellStyle name="Input 56" xfId="7743" xr:uid="{EEB864E5-C234-4A46-9C86-0015A18D724D}"/>
    <cellStyle name="Input 57" xfId="7744" xr:uid="{7EDE6DAD-2F5E-4020-87B1-8E0DEE51385E}"/>
    <cellStyle name="Input 58" xfId="7745" xr:uid="{84430075-44A2-48A0-A279-0D76CB37A472}"/>
    <cellStyle name="Input 59" xfId="7746" xr:uid="{B00613A3-08D5-42CF-9D45-190FAA60A67F}"/>
    <cellStyle name="Input 6" xfId="3720" xr:uid="{00000000-0005-0000-0000-0000670E0000}"/>
    <cellStyle name="Input 60" xfId="7747" xr:uid="{ABA20A2C-60AF-4751-AD3D-628AEC45B2A3}"/>
    <cellStyle name="Input 61" xfId="7748" xr:uid="{5FEB721F-CCC4-4CC0-9AE4-89F7E868EF24}"/>
    <cellStyle name="Input 62" xfId="7749" xr:uid="{C8A68250-BF97-4934-8AF2-DE65A7872542}"/>
    <cellStyle name="Input 63" xfId="7750" xr:uid="{9D1131D6-D1E0-48B4-B2A1-BCCA5224CDCF}"/>
    <cellStyle name="Input 64" xfId="7751" xr:uid="{0035B612-C168-4B07-B383-B29C8DC30B44}"/>
    <cellStyle name="Input 65" xfId="7752" xr:uid="{BAE79EE8-483A-4FB5-81BA-8638B63C7066}"/>
    <cellStyle name="Input 66" xfId="7753" xr:uid="{77AEFC74-934F-4A76-8274-4D7B7CA72459}"/>
    <cellStyle name="Input 67" xfId="7754" xr:uid="{261FE3C3-294A-4F0E-86C1-7E3647D0760D}"/>
    <cellStyle name="Input 68" xfId="7755" xr:uid="{4FB77F50-6306-4DF4-9431-F13A2203CC9B}"/>
    <cellStyle name="Input 69" xfId="7756" xr:uid="{EE14EBDF-FF60-4710-AFB8-8CF5655F1B6B}"/>
    <cellStyle name="Input 7" xfId="3721" xr:uid="{00000000-0005-0000-0000-0000680E0000}"/>
    <cellStyle name="Input 70" xfId="7757" xr:uid="{9DDF8E2E-8C11-4F42-9778-4FE30D753A7F}"/>
    <cellStyle name="Input 71" xfId="7758" xr:uid="{71444EB6-2D75-4EDB-99CC-6016D0019958}"/>
    <cellStyle name="Input 72" xfId="7759" xr:uid="{0ABF55CD-154B-43F5-A123-B7727C31D948}"/>
    <cellStyle name="Input 73" xfId="7760" xr:uid="{B42C269D-DF60-42C5-9C97-218B85A15D2E}"/>
    <cellStyle name="Input 8" xfId="3722" xr:uid="{00000000-0005-0000-0000-0000690E0000}"/>
    <cellStyle name="Input 9" xfId="3723" xr:uid="{00000000-0005-0000-0000-00006A0E0000}"/>
    <cellStyle name="Input box" xfId="3724" xr:uid="{00000000-0005-0000-0000-00006B0E0000}"/>
    <cellStyle name="Input screen" xfId="3725" xr:uid="{00000000-0005-0000-0000-00006C0E0000}"/>
    <cellStyle name="Inputs" xfId="3726" xr:uid="{00000000-0005-0000-0000-00006D0E0000}"/>
    <cellStyle name="Insatisfaisant" xfId="280" xr:uid="{00000000-0005-0000-0000-00006E0E0000}"/>
    <cellStyle name="Kolrubr" xfId="281" xr:uid="{00000000-0005-0000-0000-00006F0E0000}"/>
    <cellStyle name="Kolrubr låst" xfId="282" xr:uid="{00000000-0005-0000-0000-0000700E0000}"/>
    <cellStyle name="Kolrubr_Adjusted Bridge, ECS" xfId="11653" xr:uid="{72AEF4D8-7FEB-4C1C-B937-7A7CE25A7A41}"/>
    <cellStyle name="Kolumnrubrik" xfId="283" xr:uid="{00000000-0005-0000-0000-0000710E0000}"/>
    <cellStyle name="Kolumnrubrik 2" xfId="284" xr:uid="{00000000-0005-0000-0000-0000720E0000}"/>
    <cellStyle name="Kolumnrubrik 3" xfId="285" xr:uid="{00000000-0005-0000-0000-0000730E0000}"/>
    <cellStyle name="Kolumnrubrik 3 2" xfId="3727" xr:uid="{00000000-0005-0000-0000-0000740E0000}"/>
    <cellStyle name="Kolumnrubrik 3_Adjusted Bridge, ECS" xfId="11654" xr:uid="{0E35A358-58F8-4B50-AF04-B0E770A24F38}"/>
    <cellStyle name="Kolumnrubrik_Adjusted Bridge, ECS" xfId="11655" xr:uid="{F5AFD59A-A7B0-4297-8AAD-742F639435DD}"/>
    <cellStyle name="Komma (0)" xfId="286" xr:uid="{00000000-0005-0000-0000-0000750E0000}"/>
    <cellStyle name="Komma 2" xfId="7761" xr:uid="{117F0313-F47E-43C5-8E71-825F4B1566C1}"/>
    <cellStyle name="Komma 3" xfId="7762" xr:uid="{E35D80C9-D0F3-428F-A1CB-F61F2EC70DC5}"/>
    <cellStyle name="Kommentarer" xfId="287" xr:uid="{00000000-0005-0000-0000-0000760E0000}"/>
    <cellStyle name="KRADSFI" xfId="288" xr:uid="{00000000-0005-0000-0000-0000770E0000}"/>
    <cellStyle name="KRADSFI 2" xfId="289" xr:uid="{00000000-0005-0000-0000-0000780E0000}"/>
    <cellStyle name="KRADSFI 3" xfId="290" xr:uid="{00000000-0005-0000-0000-0000790E0000}"/>
    <cellStyle name="KRADSFI 3 2" xfId="3728" xr:uid="{00000000-0005-0000-0000-00007A0E0000}"/>
    <cellStyle name="KRADSFI 3_Adjusted Bridge, ECS" xfId="11656" xr:uid="{94F78620-891B-473A-BD9E-CB58A08CD232}"/>
    <cellStyle name="KRADSFI 4" xfId="3729" xr:uid="{00000000-0005-0000-0000-00007B0E0000}"/>
    <cellStyle name="KRADSFI 5" xfId="3730" xr:uid="{00000000-0005-0000-0000-00007C0E0000}"/>
    <cellStyle name="KRADSFI 6" xfId="3731" xr:uid="{00000000-0005-0000-0000-00007D0E0000}"/>
    <cellStyle name="KRADSFI 7" xfId="3732" xr:uid="{00000000-0005-0000-0000-00007E0E0000}"/>
    <cellStyle name="KRADSFI_Adjusted Bridge, ECS" xfId="11657" xr:uid="{5484161C-6180-4C7D-913F-B83BBD2AB3E0}"/>
    <cellStyle name="Lien hypertexte visité_SSJB  MICHELIN" xfId="291" xr:uid="{00000000-0005-0000-0000-0000800E0000}"/>
    <cellStyle name="Lien hypertexte_SSJB  MICHELIN" xfId="292" xr:uid="{00000000-0005-0000-0000-0000810E0000}"/>
    <cellStyle name="Linked Cell 10" xfId="3733" xr:uid="{00000000-0005-0000-0000-0000820E0000}"/>
    <cellStyle name="Linked Cell 11" xfId="3734" xr:uid="{00000000-0005-0000-0000-0000830E0000}"/>
    <cellStyle name="Linked Cell 12" xfId="3735" xr:uid="{00000000-0005-0000-0000-0000840E0000}"/>
    <cellStyle name="Linked Cell 13" xfId="3736" xr:uid="{00000000-0005-0000-0000-0000850E0000}"/>
    <cellStyle name="Linked Cell 2" xfId="293" xr:uid="{00000000-0005-0000-0000-0000860E0000}"/>
    <cellStyle name="Linked Cell 2 10" xfId="3737" xr:uid="{00000000-0005-0000-0000-0000870E0000}"/>
    <cellStyle name="Linked Cell 2 11" xfId="3738" xr:uid="{00000000-0005-0000-0000-0000880E0000}"/>
    <cellStyle name="Linked Cell 2 12" xfId="3739" xr:uid="{00000000-0005-0000-0000-0000890E0000}"/>
    <cellStyle name="Linked Cell 2 13" xfId="3740" xr:uid="{00000000-0005-0000-0000-00008A0E0000}"/>
    <cellStyle name="Linked Cell 2 14" xfId="3741" xr:uid="{00000000-0005-0000-0000-00008B0E0000}"/>
    <cellStyle name="Linked Cell 2 15" xfId="3742" xr:uid="{00000000-0005-0000-0000-00008C0E0000}"/>
    <cellStyle name="Linked Cell 2 16" xfId="3743" xr:uid="{00000000-0005-0000-0000-00008D0E0000}"/>
    <cellStyle name="Linked Cell 2 2" xfId="3744" xr:uid="{00000000-0005-0000-0000-00008E0E0000}"/>
    <cellStyle name="Linked Cell 2 2 10" xfId="3745" xr:uid="{00000000-0005-0000-0000-00008F0E0000}"/>
    <cellStyle name="Linked Cell 2 2 11" xfId="3746" xr:uid="{00000000-0005-0000-0000-0000900E0000}"/>
    <cellStyle name="Linked Cell 2 2 12" xfId="3747" xr:uid="{00000000-0005-0000-0000-0000910E0000}"/>
    <cellStyle name="Linked Cell 2 2 13" xfId="3748" xr:uid="{00000000-0005-0000-0000-0000920E0000}"/>
    <cellStyle name="Linked Cell 2 2 14" xfId="3749" xr:uid="{00000000-0005-0000-0000-0000930E0000}"/>
    <cellStyle name="Linked Cell 2 2 15" xfId="3750" xr:uid="{00000000-0005-0000-0000-0000940E0000}"/>
    <cellStyle name="Linked Cell 2 2 2" xfId="3751" xr:uid="{00000000-0005-0000-0000-0000950E0000}"/>
    <cellStyle name="Linked Cell 2 2 3" xfId="3752" xr:uid="{00000000-0005-0000-0000-0000960E0000}"/>
    <cellStyle name="Linked Cell 2 2 4" xfId="3753" xr:uid="{00000000-0005-0000-0000-0000970E0000}"/>
    <cellStyle name="Linked Cell 2 2 5" xfId="3754" xr:uid="{00000000-0005-0000-0000-0000980E0000}"/>
    <cellStyle name="Linked Cell 2 2 6" xfId="3755" xr:uid="{00000000-0005-0000-0000-0000990E0000}"/>
    <cellStyle name="Linked Cell 2 2 7" xfId="3756" xr:uid="{00000000-0005-0000-0000-00009A0E0000}"/>
    <cellStyle name="Linked Cell 2 2 8" xfId="3757" xr:uid="{00000000-0005-0000-0000-00009B0E0000}"/>
    <cellStyle name="Linked Cell 2 2 9" xfId="3758" xr:uid="{00000000-0005-0000-0000-00009C0E0000}"/>
    <cellStyle name="Linked Cell 2 2_Adjusted Bridge, ECS" xfId="11658" xr:uid="{79616159-8DDA-4BFE-B97A-E56450B15115}"/>
    <cellStyle name="Linked Cell 2 3" xfId="3759" xr:uid="{00000000-0005-0000-0000-00009E0E0000}"/>
    <cellStyle name="Linked Cell 2 3 2" xfId="3760" xr:uid="{00000000-0005-0000-0000-00009F0E0000}"/>
    <cellStyle name="Linked Cell 2 3_Adjusted Bridge, ECS" xfId="11659" xr:uid="{27593FDE-8A98-42D9-B30F-2AEB1BCCC4D2}"/>
    <cellStyle name="Linked Cell 2 4" xfId="3761" xr:uid="{00000000-0005-0000-0000-0000A10E0000}"/>
    <cellStyle name="Linked Cell 2 4 2" xfId="3762" xr:uid="{00000000-0005-0000-0000-0000A20E0000}"/>
    <cellStyle name="Linked Cell 2 4_Adjusted Bridge, ECS" xfId="11660" xr:uid="{A97B9090-0124-46CD-94C5-4C81543C20C9}"/>
    <cellStyle name="Linked Cell 2 5" xfId="3763" xr:uid="{00000000-0005-0000-0000-0000A30E0000}"/>
    <cellStyle name="Linked Cell 2 6" xfId="3764" xr:uid="{00000000-0005-0000-0000-0000A40E0000}"/>
    <cellStyle name="Linked Cell 2 7" xfId="3765" xr:uid="{00000000-0005-0000-0000-0000A50E0000}"/>
    <cellStyle name="Linked Cell 2 8" xfId="3766" xr:uid="{00000000-0005-0000-0000-0000A60E0000}"/>
    <cellStyle name="Linked Cell 2 9" xfId="3767" xr:uid="{00000000-0005-0000-0000-0000A70E0000}"/>
    <cellStyle name="Linked Cell 2_Acq input" xfId="7763" xr:uid="{FCEA49B7-A429-4D70-9172-017B3807265B}"/>
    <cellStyle name="Linked Cell 3" xfId="294" xr:uid="{00000000-0005-0000-0000-0000A90E0000}"/>
    <cellStyle name="Linked Cell 3 2" xfId="3768" xr:uid="{00000000-0005-0000-0000-0000AA0E0000}"/>
    <cellStyle name="Linked Cell 3 3" xfId="3769" xr:uid="{00000000-0005-0000-0000-0000AB0E0000}"/>
    <cellStyle name="Linked Cell 3 4" xfId="3770" xr:uid="{00000000-0005-0000-0000-0000AC0E0000}"/>
    <cellStyle name="Linked Cell 3 5" xfId="3771" xr:uid="{00000000-0005-0000-0000-0000AD0E0000}"/>
    <cellStyle name="Linked Cell 3 6" xfId="3772" xr:uid="{00000000-0005-0000-0000-0000AE0E0000}"/>
    <cellStyle name="Linked Cell 3 7" xfId="3773" xr:uid="{00000000-0005-0000-0000-0000AF0E0000}"/>
    <cellStyle name="Linked Cell 3 8" xfId="3774" xr:uid="{00000000-0005-0000-0000-0000B00E0000}"/>
    <cellStyle name="Linked Cell 3 9" xfId="3775" xr:uid="{00000000-0005-0000-0000-0000B10E0000}"/>
    <cellStyle name="Linked Cell 3_Adjusted Bridge, ECS" xfId="11661" xr:uid="{1B47DEE6-6284-4827-ACAA-D68A1C2C852B}"/>
    <cellStyle name="Linked Cell 4" xfId="295" xr:uid="{00000000-0005-0000-0000-0000B30E0000}"/>
    <cellStyle name="Linked Cell 4 2" xfId="3776" xr:uid="{00000000-0005-0000-0000-0000B40E0000}"/>
    <cellStyle name="Linked Cell 4_Adjusted Bridge, ECS" xfId="11662" xr:uid="{60037743-26A0-4F1B-879A-2E2096AEEBA9}"/>
    <cellStyle name="Linked Cell 5" xfId="296" xr:uid="{00000000-0005-0000-0000-0000B60E0000}"/>
    <cellStyle name="Linked Cell 6" xfId="3777" xr:uid="{00000000-0005-0000-0000-0000B70E0000}"/>
    <cellStyle name="Linked Cell 7" xfId="3778" xr:uid="{00000000-0005-0000-0000-0000B80E0000}"/>
    <cellStyle name="Linked Cell 8" xfId="3779" xr:uid="{00000000-0005-0000-0000-0000B90E0000}"/>
    <cellStyle name="Linked Cell 9" xfId="3780" xr:uid="{00000000-0005-0000-0000-0000BA0E0000}"/>
    <cellStyle name="Map Data Values" xfId="297" xr:uid="{00000000-0005-0000-0000-0000BB0E0000}"/>
    <cellStyle name="Map Data Values 2" xfId="3781" xr:uid="{00000000-0005-0000-0000-0000BC0E0000}"/>
    <cellStyle name="Map Data Values 2 2" xfId="3782" xr:uid="{00000000-0005-0000-0000-0000BD0E0000}"/>
    <cellStyle name="Map Data Values 2_Adjusted Bridge, ECS" xfId="11663" xr:uid="{5ED2D94D-F64B-420F-ADA3-CA9C5A275A7C}"/>
    <cellStyle name="Map Data Values_Adjusted Bridge, ECS" xfId="11664" xr:uid="{8ACFB598-EE5A-40B2-84EF-3878440BB884}"/>
    <cellStyle name="Map Distance" xfId="298" xr:uid="{00000000-0005-0000-0000-0000C00E0000}"/>
    <cellStyle name="Map Distance 2" xfId="3783" xr:uid="{00000000-0005-0000-0000-0000C10E0000}"/>
    <cellStyle name="Map Distance 2 2" xfId="3784" xr:uid="{00000000-0005-0000-0000-0000C20E0000}"/>
    <cellStyle name="Map Distance 2_Adjusted Bridge, ECS" xfId="11665" xr:uid="{B0AE8823-CCCD-425A-B8B7-701B05C88BEC}"/>
    <cellStyle name="Map Distance_Adjusted Bridge, ECS" xfId="11666" xr:uid="{E121BD8C-B070-420F-B917-545C4378EEC3}"/>
    <cellStyle name="Map Legend" xfId="299" xr:uid="{00000000-0005-0000-0000-0000C50E0000}"/>
    <cellStyle name="Map Legend 2" xfId="3785" xr:uid="{00000000-0005-0000-0000-0000C60E0000}"/>
    <cellStyle name="Map Legend 2 2" xfId="3786" xr:uid="{00000000-0005-0000-0000-0000C70E0000}"/>
    <cellStyle name="Map Legend 2_Adjusted Bridge, ECS" xfId="11667" xr:uid="{85976084-599D-4808-A1F8-E8E274CA753A}"/>
    <cellStyle name="Map Legend_Adjusted Bridge, ECS" xfId="11668" xr:uid="{844FC19C-1669-4049-B702-391BA75939BA}"/>
    <cellStyle name="Map Object Names" xfId="300" xr:uid="{00000000-0005-0000-0000-0000CA0E0000}"/>
    <cellStyle name="Map Object Names 2" xfId="3787" xr:uid="{00000000-0005-0000-0000-0000CB0E0000}"/>
    <cellStyle name="Map Object Names 2 2" xfId="3788" xr:uid="{00000000-0005-0000-0000-0000CC0E0000}"/>
    <cellStyle name="Map Object Names 2_Adjusted Bridge, ECS" xfId="11669" xr:uid="{88F7C955-DE0C-4C85-B05A-0499598436DD}"/>
    <cellStyle name="Map Object Names_Adjusted Bridge, ECS" xfId="11670" xr:uid="{6D899FD8-63C1-4F21-B503-F7CCAD5B53BA}"/>
    <cellStyle name="Map Title" xfId="301" xr:uid="{00000000-0005-0000-0000-0000CF0E0000}"/>
    <cellStyle name="Map Title 2" xfId="3789" xr:uid="{00000000-0005-0000-0000-0000D00E0000}"/>
    <cellStyle name="Map Title 2 2" xfId="3790" xr:uid="{00000000-0005-0000-0000-0000D10E0000}"/>
    <cellStyle name="Map Title 2_Adjusted Bridge, ECS" xfId="11671" xr:uid="{62E473DB-9ABB-4F98-B177-C0E10AAC3863}"/>
    <cellStyle name="Map Title_Adjusted Bridge, ECS" xfId="11672" xr:uid="{C45A4D46-7381-4994-B3BE-215BE3F8D5CE}"/>
    <cellStyle name="Millares 2" xfId="7764" xr:uid="{3AC4820F-7A37-472F-9E73-9B02999CCA58}"/>
    <cellStyle name="Millares 2 2" xfId="7765" xr:uid="{D720E9FC-4349-4A49-AB89-74939ED911B3}"/>
    <cellStyle name="Millares 2_Adjusted bridges" xfId="11673" xr:uid="{48D683FD-CD69-485A-A57C-017A8C5CF6A8}"/>
    <cellStyle name="Milliers [0]_Bourse96" xfId="302" xr:uid="{00000000-0005-0000-0000-0000D40E0000}"/>
    <cellStyle name="Milliers 2" xfId="7766" xr:uid="{87FF510F-E59C-4985-AEE3-2617B27E5B39}"/>
    <cellStyle name="Milliers 2 2" xfId="7767" xr:uid="{6D18D5CF-064D-4F4A-8633-8A3F690EB7C7}"/>
    <cellStyle name="Milliers 2 3" xfId="7768" xr:uid="{6DA7C98F-F84A-40ED-9316-33B35AB1D66C}"/>
    <cellStyle name="Milliers 2_Adjusted bridges" xfId="11674" xr:uid="{CF9FE6D2-48D0-4284-894B-437EDFD76944}"/>
    <cellStyle name="Milliers 3" xfId="7769" xr:uid="{4331C186-4FF0-4BC1-9C45-F53C0D0BECAF}"/>
    <cellStyle name="Milliers_Bourse96" xfId="303" xr:uid="{00000000-0005-0000-0000-0000D50E0000}"/>
    <cellStyle name="Moeda 2" xfId="7770" xr:uid="{29F6E64C-9B8B-4E63-AB1D-3BFA7C497437}"/>
    <cellStyle name="Moneda 2" xfId="7771" xr:uid="{EC5DAF20-1ACF-4171-9FA9-B18E824B8D5E}"/>
    <cellStyle name="Monétaire [0]_Bourse96" xfId="304" xr:uid="{00000000-0005-0000-0000-0000D60E0000}"/>
    <cellStyle name="Monétaire_Bourse96" xfId="305" xr:uid="{00000000-0005-0000-0000-0000D70E0000}"/>
    <cellStyle name="Neutra" xfId="7772" xr:uid="{C673453D-A4A4-40AF-97D2-8F10FDFBD4DC}"/>
    <cellStyle name="Neutral 10" xfId="3791" xr:uid="{00000000-0005-0000-0000-0000D80E0000}"/>
    <cellStyle name="Neutral 11" xfId="3792" xr:uid="{00000000-0005-0000-0000-0000D90E0000}"/>
    <cellStyle name="Neutral 12" xfId="3793" xr:uid="{00000000-0005-0000-0000-0000DA0E0000}"/>
    <cellStyle name="Neutral 13" xfId="3794" xr:uid="{00000000-0005-0000-0000-0000DB0E0000}"/>
    <cellStyle name="Neutral 14" xfId="7773" xr:uid="{F4A4E948-A6D8-403E-94CA-2CFCA9E034B8}"/>
    <cellStyle name="Neutral 2" xfId="306" xr:uid="{00000000-0005-0000-0000-0000DC0E0000}"/>
    <cellStyle name="Neutral 2 10" xfId="3795" xr:uid="{00000000-0005-0000-0000-0000DD0E0000}"/>
    <cellStyle name="Neutral 2 11" xfId="3796" xr:uid="{00000000-0005-0000-0000-0000DE0E0000}"/>
    <cellStyle name="Neutral 2 12" xfId="3797" xr:uid="{00000000-0005-0000-0000-0000DF0E0000}"/>
    <cellStyle name="Neutral 2 13" xfId="3798" xr:uid="{00000000-0005-0000-0000-0000E00E0000}"/>
    <cellStyle name="Neutral 2 14" xfId="3799" xr:uid="{00000000-0005-0000-0000-0000E10E0000}"/>
    <cellStyle name="Neutral 2 15" xfId="3800" xr:uid="{00000000-0005-0000-0000-0000E20E0000}"/>
    <cellStyle name="Neutral 2 16" xfId="3801" xr:uid="{00000000-0005-0000-0000-0000E30E0000}"/>
    <cellStyle name="Neutral 2 2" xfId="3802" xr:uid="{00000000-0005-0000-0000-0000E40E0000}"/>
    <cellStyle name="Neutral 2 2 10" xfId="3803" xr:uid="{00000000-0005-0000-0000-0000E50E0000}"/>
    <cellStyle name="Neutral 2 2 11" xfId="3804" xr:uid="{00000000-0005-0000-0000-0000E60E0000}"/>
    <cellStyle name="Neutral 2 2 12" xfId="3805" xr:uid="{00000000-0005-0000-0000-0000E70E0000}"/>
    <cellStyle name="Neutral 2 2 13" xfId="3806" xr:uid="{00000000-0005-0000-0000-0000E80E0000}"/>
    <cellStyle name="Neutral 2 2 14" xfId="3807" xr:uid="{00000000-0005-0000-0000-0000E90E0000}"/>
    <cellStyle name="Neutral 2 2 15" xfId="3808" xr:uid="{00000000-0005-0000-0000-0000EA0E0000}"/>
    <cellStyle name="Neutral 2 2 2" xfId="3809" xr:uid="{00000000-0005-0000-0000-0000EB0E0000}"/>
    <cellStyle name="Neutral 2 2 3" xfId="3810" xr:uid="{00000000-0005-0000-0000-0000EC0E0000}"/>
    <cellStyle name="Neutral 2 2 4" xfId="3811" xr:uid="{00000000-0005-0000-0000-0000ED0E0000}"/>
    <cellStyle name="Neutral 2 2 5" xfId="3812" xr:uid="{00000000-0005-0000-0000-0000EE0E0000}"/>
    <cellStyle name="Neutral 2 2 6" xfId="3813" xr:uid="{00000000-0005-0000-0000-0000EF0E0000}"/>
    <cellStyle name="Neutral 2 2 7" xfId="3814" xr:uid="{00000000-0005-0000-0000-0000F00E0000}"/>
    <cellStyle name="Neutral 2 2 8" xfId="3815" xr:uid="{00000000-0005-0000-0000-0000F10E0000}"/>
    <cellStyle name="Neutral 2 2 9" xfId="3816" xr:uid="{00000000-0005-0000-0000-0000F20E0000}"/>
    <cellStyle name="Neutral 2 2_Adjusted Bridge, ECS" xfId="11675" xr:uid="{8108C5EC-512A-46BF-A6F9-494C167B2E52}"/>
    <cellStyle name="Neutral 2 3" xfId="3817" xr:uid="{00000000-0005-0000-0000-0000F40E0000}"/>
    <cellStyle name="Neutral 2 3 2" xfId="3818" xr:uid="{00000000-0005-0000-0000-0000F50E0000}"/>
    <cellStyle name="Neutral 2 3_Adjusted Bridge, ECS" xfId="11676" xr:uid="{86CEFBA1-E1A1-4CA7-A663-9F00BEC59FCA}"/>
    <cellStyle name="Neutral 2 4" xfId="3819" xr:uid="{00000000-0005-0000-0000-0000F70E0000}"/>
    <cellStyle name="Neutral 2 4 2" xfId="3820" xr:uid="{00000000-0005-0000-0000-0000F80E0000}"/>
    <cellStyle name="Neutral 2 4_Adjusted Bridge, ECS" xfId="11677" xr:uid="{0F5428A2-51AA-4192-A9EA-7A68C98FA0AB}"/>
    <cellStyle name="Neutral 2 5" xfId="3821" xr:uid="{00000000-0005-0000-0000-0000F90E0000}"/>
    <cellStyle name="Neutral 2 6" xfId="3822" xr:uid="{00000000-0005-0000-0000-0000FA0E0000}"/>
    <cellStyle name="Neutral 2 7" xfId="3823" xr:uid="{00000000-0005-0000-0000-0000FB0E0000}"/>
    <cellStyle name="Neutral 2 8" xfId="3824" xr:uid="{00000000-0005-0000-0000-0000FC0E0000}"/>
    <cellStyle name="Neutral 2 9" xfId="3825" xr:uid="{00000000-0005-0000-0000-0000FD0E0000}"/>
    <cellStyle name="Neutral 2_Acq input" xfId="7774" xr:uid="{AD49C414-B02B-474F-A926-48EC2F4FCB83}"/>
    <cellStyle name="Neutral 3" xfId="307" xr:uid="{00000000-0005-0000-0000-0000FF0E0000}"/>
    <cellStyle name="Neutral 3 2" xfId="3826" xr:uid="{00000000-0005-0000-0000-0000000F0000}"/>
    <cellStyle name="Neutral 3 3" xfId="3827" xr:uid="{00000000-0005-0000-0000-0000010F0000}"/>
    <cellStyle name="Neutral 3 4" xfId="3828" xr:uid="{00000000-0005-0000-0000-0000020F0000}"/>
    <cellStyle name="Neutral 3 5" xfId="3829" xr:uid="{00000000-0005-0000-0000-0000030F0000}"/>
    <cellStyle name="Neutral 3 6" xfId="3830" xr:uid="{00000000-0005-0000-0000-0000040F0000}"/>
    <cellStyle name="Neutral 3 7" xfId="3831" xr:uid="{00000000-0005-0000-0000-0000050F0000}"/>
    <cellStyle name="Neutral 3 8" xfId="3832" xr:uid="{00000000-0005-0000-0000-0000060F0000}"/>
    <cellStyle name="Neutral 3 9" xfId="3833" xr:uid="{00000000-0005-0000-0000-0000070F0000}"/>
    <cellStyle name="Neutral 3_Adjusted Bridge, ECS" xfId="11678" xr:uid="{F25260E2-E45F-4077-90E6-24997CD1299A}"/>
    <cellStyle name="Neutral 4" xfId="308" xr:uid="{00000000-0005-0000-0000-0000090F0000}"/>
    <cellStyle name="Neutral 4 2" xfId="3834" xr:uid="{00000000-0005-0000-0000-00000A0F0000}"/>
    <cellStyle name="Neutral 4_Adjusted Bridge, ECS" xfId="11679" xr:uid="{09D2D26F-D858-4517-B2FC-4CB16AA9491E}"/>
    <cellStyle name="Neutral 5" xfId="309" xr:uid="{00000000-0005-0000-0000-00000C0F0000}"/>
    <cellStyle name="Neutral 6" xfId="3835" xr:uid="{00000000-0005-0000-0000-00000D0F0000}"/>
    <cellStyle name="Neutral 7" xfId="3836" xr:uid="{00000000-0005-0000-0000-00000E0F0000}"/>
    <cellStyle name="Neutral 8" xfId="3837" xr:uid="{00000000-0005-0000-0000-00000F0F0000}"/>
    <cellStyle name="Neutral 9" xfId="3838" xr:uid="{00000000-0005-0000-0000-0000100F0000}"/>
    <cellStyle name="Neutre" xfId="310" xr:uid="{00000000-0005-0000-0000-0000110F0000}"/>
    <cellStyle name="newdate" xfId="3839" xr:uid="{00000000-0005-0000-0000-0000120F0000}"/>
    <cellStyle name="newdate 2" xfId="7775" xr:uid="{932444EE-E174-40DC-BEB0-97BC844F5DC1}"/>
    <cellStyle name="newdate_Adjusted Bridge, ECS" xfId="11680" xr:uid="{C21254AC-5EB4-41F6-8873-4E12E7227B78}"/>
    <cellStyle name="No-definido" xfId="7776" xr:uid="{91BE3BCD-89AB-453C-BEAD-ED19C1067777}"/>
    <cellStyle name="Normal" xfId="0" builtinId="0"/>
    <cellStyle name="Normal - Style1" xfId="311" xr:uid="{00000000-0005-0000-0000-0000140F0000}"/>
    <cellStyle name="Normal - Style1 2" xfId="3840" xr:uid="{00000000-0005-0000-0000-0000150F0000}"/>
    <cellStyle name="Normal - Style1 2 2" xfId="3841" xr:uid="{00000000-0005-0000-0000-0000160F0000}"/>
    <cellStyle name="Normal - Style1 2_Adjusted Bridge, ECS" xfId="11681" xr:uid="{FB8831E4-0A9B-408B-84DA-59D684B3F737}"/>
    <cellStyle name="Normal - Style1_Acq input" xfId="7777" xr:uid="{E5F4D39D-F9AD-4EAA-9F00-4AC78FA4DDE4}"/>
    <cellStyle name="Normal 10" xfId="312" xr:uid="{00000000-0005-0000-0000-0000190F0000}"/>
    <cellStyle name="Normal 10 10" xfId="7778" xr:uid="{DD310CCD-F73D-4582-9797-D7F36114A50B}"/>
    <cellStyle name="Normal 10 11" xfId="7779" xr:uid="{F4AFDD4E-1B2C-48B0-993A-AC326A46B620}"/>
    <cellStyle name="Normal 10 12" xfId="7780" xr:uid="{0AC332BE-5523-41B2-A156-76876C0A4FE1}"/>
    <cellStyle name="Normal 10 13" xfId="7781" xr:uid="{25945030-EDA4-40C9-B695-BF014D56A6ED}"/>
    <cellStyle name="Normal 10 14" xfId="7782" xr:uid="{FE9418B4-FF08-49E6-A3F9-416BFD0204BC}"/>
    <cellStyle name="Normal 10 15" xfId="7783" xr:uid="{E99D204E-2A10-46FC-981D-3BF2171DA5A4}"/>
    <cellStyle name="Normal 10 2" xfId="3842" xr:uid="{00000000-0005-0000-0000-00001A0F0000}"/>
    <cellStyle name="Normal 10 2 2" xfId="3843" xr:uid="{00000000-0005-0000-0000-00001B0F0000}"/>
    <cellStyle name="Normal 10 2 2 2" xfId="3844" xr:uid="{00000000-0005-0000-0000-00001C0F0000}"/>
    <cellStyle name="Normal 10 2 2 2 2" xfId="3845" xr:uid="{00000000-0005-0000-0000-00001D0F0000}"/>
    <cellStyle name="Normal 10 2 2 2 3" xfId="3846" xr:uid="{00000000-0005-0000-0000-00001E0F0000}"/>
    <cellStyle name="Normal 10 2 2 2_Adjusted Bridge, ECS" xfId="11682" xr:uid="{57D9827D-FC4B-487F-B943-3DD8C4EEF30E}"/>
    <cellStyle name="Normal 10 2 2 3" xfId="3847" xr:uid="{00000000-0005-0000-0000-0000200F0000}"/>
    <cellStyle name="Normal 10 2 2 3 2" xfId="3848" xr:uid="{00000000-0005-0000-0000-0000210F0000}"/>
    <cellStyle name="Normal 10 2 2 3 3" xfId="3849" xr:uid="{00000000-0005-0000-0000-0000220F0000}"/>
    <cellStyle name="Normal 10 2 2 3_Adjusted Bridge, ECS" xfId="11683" xr:uid="{BA1E7047-DA54-4DA4-8EB1-9989AECB55FA}"/>
    <cellStyle name="Normal 10 2 2 4" xfId="3850" xr:uid="{00000000-0005-0000-0000-0000240F0000}"/>
    <cellStyle name="Normal 10 2 2 5" xfId="3851" xr:uid="{00000000-0005-0000-0000-0000250F0000}"/>
    <cellStyle name="Normal 10 2 2_Adjusted Bridge, ECS" xfId="11684" xr:uid="{17A2FEBE-D6EA-41AA-B52E-84CC20DA2AB0}"/>
    <cellStyle name="Normal 10 2 3" xfId="3852" xr:uid="{00000000-0005-0000-0000-0000270F0000}"/>
    <cellStyle name="Normal 10 2 3 2" xfId="3853" xr:uid="{00000000-0005-0000-0000-0000280F0000}"/>
    <cellStyle name="Normal 10 2 3 3" xfId="3854" xr:uid="{00000000-0005-0000-0000-0000290F0000}"/>
    <cellStyle name="Normal 10 2 3_Adjusted Bridge, ECS" xfId="11685" xr:uid="{1B9BC625-5393-4902-8C95-3DCF37F1442F}"/>
    <cellStyle name="Normal 10 2 4" xfId="3855" xr:uid="{00000000-0005-0000-0000-00002B0F0000}"/>
    <cellStyle name="Normal 10 2 4 2" xfId="3856" xr:uid="{00000000-0005-0000-0000-00002C0F0000}"/>
    <cellStyle name="Normal 10 2 4 3" xfId="3857" xr:uid="{00000000-0005-0000-0000-00002D0F0000}"/>
    <cellStyle name="Normal 10 2 4_Adjusted Bridge, ECS" xfId="11686" xr:uid="{C030F48D-5F9F-414E-8B56-5380048E7EFA}"/>
    <cellStyle name="Normal 10 2 5" xfId="3858" xr:uid="{00000000-0005-0000-0000-00002F0F0000}"/>
    <cellStyle name="Normal 10 2 5 2" xfId="3859" xr:uid="{00000000-0005-0000-0000-0000300F0000}"/>
    <cellStyle name="Normal 10 2 5_Adjusted Bridge, ECS" xfId="11687" xr:uid="{FBFB22C4-205C-445B-AA0F-4FFE22C01E4F}"/>
    <cellStyle name="Normal 10 2 6" xfId="3860" xr:uid="{00000000-0005-0000-0000-0000320F0000}"/>
    <cellStyle name="Normal 10 2 7" xfId="3861" xr:uid="{00000000-0005-0000-0000-0000330F0000}"/>
    <cellStyle name="Normal 10 2_Adjusted Bridge, ECS" xfId="11688" xr:uid="{BB5C9B0A-C687-4557-AC7A-986F3647514C}"/>
    <cellStyle name="Normal 10 3" xfId="3862" xr:uid="{00000000-0005-0000-0000-0000350F0000}"/>
    <cellStyle name="Normal 10 3 2" xfId="3863" xr:uid="{00000000-0005-0000-0000-0000360F0000}"/>
    <cellStyle name="Normal 10 3 2 2" xfId="3864" xr:uid="{00000000-0005-0000-0000-0000370F0000}"/>
    <cellStyle name="Normal 10 3 2 3" xfId="3865" xr:uid="{00000000-0005-0000-0000-0000380F0000}"/>
    <cellStyle name="Normal 10 3 2_Adjusted Bridge, ECS" xfId="11689" xr:uid="{F2164FBA-007E-4137-96D5-5EAE73F576FD}"/>
    <cellStyle name="Normal 10 3 3" xfId="3866" xr:uid="{00000000-0005-0000-0000-00003A0F0000}"/>
    <cellStyle name="Normal 10 3 3 2" xfId="3867" xr:uid="{00000000-0005-0000-0000-00003B0F0000}"/>
    <cellStyle name="Normal 10 3 3 3" xfId="3868" xr:uid="{00000000-0005-0000-0000-00003C0F0000}"/>
    <cellStyle name="Normal 10 3 3_Adjusted Bridge, ECS" xfId="11690" xr:uid="{FEDC476B-67CB-4ADB-9DE3-579FCD91076A}"/>
    <cellStyle name="Normal 10 3 4" xfId="3869" xr:uid="{00000000-0005-0000-0000-00003E0F0000}"/>
    <cellStyle name="Normal 10 3 5" xfId="3870" xr:uid="{00000000-0005-0000-0000-00003F0F0000}"/>
    <cellStyle name="Normal 10 3 6" xfId="3871" xr:uid="{00000000-0005-0000-0000-0000400F0000}"/>
    <cellStyle name="Normal 10 3_Adjusted Bridge, ECS" xfId="11691" xr:uid="{BA8A146C-4174-4ACA-AB5A-1B11C4BAAC37}"/>
    <cellStyle name="Normal 10 4" xfId="3872" xr:uid="{00000000-0005-0000-0000-0000420F0000}"/>
    <cellStyle name="Normal 10 4 2" xfId="3873" xr:uid="{00000000-0005-0000-0000-0000430F0000}"/>
    <cellStyle name="Normal 10 4 3" xfId="3874" xr:uid="{00000000-0005-0000-0000-0000440F0000}"/>
    <cellStyle name="Normal 10 4 4" xfId="3875" xr:uid="{00000000-0005-0000-0000-0000450F0000}"/>
    <cellStyle name="Normal 10 4 5" xfId="3876" xr:uid="{00000000-0005-0000-0000-0000460F0000}"/>
    <cellStyle name="Normal 10 4_Adjusted Bridge, ECS" xfId="11692" xr:uid="{379D3A65-31A1-4297-A94E-6E36F760F565}"/>
    <cellStyle name="Normal 10 5" xfId="3877" xr:uid="{00000000-0005-0000-0000-0000470F0000}"/>
    <cellStyle name="Normal 10 5 2" xfId="3878" xr:uid="{00000000-0005-0000-0000-0000480F0000}"/>
    <cellStyle name="Normal 10 5 3" xfId="3879" xr:uid="{00000000-0005-0000-0000-0000490F0000}"/>
    <cellStyle name="Normal 10 5_Adjusted Bridge, ECS" xfId="11693" xr:uid="{5EA43490-AAE8-49B1-A202-E674C9285C3C}"/>
    <cellStyle name="Normal 10 6" xfId="3880" xr:uid="{00000000-0005-0000-0000-00004B0F0000}"/>
    <cellStyle name="Normal 10 6 2" xfId="3881" xr:uid="{00000000-0005-0000-0000-00004C0F0000}"/>
    <cellStyle name="Normal 10 6 3" xfId="3882" xr:uid="{00000000-0005-0000-0000-00004D0F0000}"/>
    <cellStyle name="Normal 10 6_Adjusted Bridge, ECS" xfId="11694" xr:uid="{85018FA9-9AF2-4942-A694-7E7DE231538A}"/>
    <cellStyle name="Normal 10 7" xfId="3883" xr:uid="{00000000-0005-0000-0000-00004F0F0000}"/>
    <cellStyle name="Normal 10 8" xfId="3884" xr:uid="{00000000-0005-0000-0000-0000500F0000}"/>
    <cellStyle name="Normal 10 9" xfId="7784" xr:uid="{997A89F4-29F2-4EF0-8A25-5B7F53D1E101}"/>
    <cellStyle name="Normal 10_1 KeyFig" xfId="3885" xr:uid="{00000000-0005-0000-0000-0000510F0000}"/>
    <cellStyle name="Normal 100" xfId="3886" xr:uid="{00000000-0005-0000-0000-0000520F0000}"/>
    <cellStyle name="Normal 101" xfId="3887" xr:uid="{00000000-0005-0000-0000-0000530F0000}"/>
    <cellStyle name="Normal 102" xfId="3888" xr:uid="{00000000-0005-0000-0000-0000540F0000}"/>
    <cellStyle name="Normal 103" xfId="3889" xr:uid="{00000000-0005-0000-0000-0000550F0000}"/>
    <cellStyle name="Normal 104" xfId="3890" xr:uid="{00000000-0005-0000-0000-0000560F0000}"/>
    <cellStyle name="Normal 105" xfId="3891" xr:uid="{00000000-0005-0000-0000-0000570F0000}"/>
    <cellStyle name="Normal 106" xfId="3892" xr:uid="{00000000-0005-0000-0000-0000580F0000}"/>
    <cellStyle name="Normal 107" xfId="3893" xr:uid="{00000000-0005-0000-0000-0000590F0000}"/>
    <cellStyle name="Normal 108" xfId="3894" xr:uid="{00000000-0005-0000-0000-00005A0F0000}"/>
    <cellStyle name="Normal 109" xfId="3895" xr:uid="{00000000-0005-0000-0000-00005B0F0000}"/>
    <cellStyle name="Normal 11" xfId="313" xr:uid="{00000000-0005-0000-0000-00005C0F0000}"/>
    <cellStyle name="Normal 11 10" xfId="7785" xr:uid="{BD9866C3-BB7B-41D0-9654-2CB23E2950EC}"/>
    <cellStyle name="Normal 11 11" xfId="7786" xr:uid="{78C173B6-4239-47E3-9204-B0852052D6F4}"/>
    <cellStyle name="Normal 11 12" xfId="7787" xr:uid="{0B0E6E1E-BB7A-436D-A93C-783EBDDFCE17}"/>
    <cellStyle name="Normal 11 13" xfId="7788" xr:uid="{A4B9DE7E-97BF-4D3B-AA6D-8866E0DCEB24}"/>
    <cellStyle name="Normal 11 14" xfId="7789" xr:uid="{7B57CC11-2C75-42C6-B676-B378CB164664}"/>
    <cellStyle name="Normal 11 15" xfId="7790" xr:uid="{373D35F4-EBA6-44CA-B966-15B1E713EEA0}"/>
    <cellStyle name="Normal 11 2" xfId="314" xr:uid="{00000000-0005-0000-0000-00005D0F0000}"/>
    <cellStyle name="Normal 11 2 10" xfId="7791" xr:uid="{8F1195D0-0AFD-4D81-86C0-DBA5E3E70975}"/>
    <cellStyle name="Normal 11 2 11" xfId="7792" xr:uid="{F14A4710-4218-4272-B9B5-971338F2E8C2}"/>
    <cellStyle name="Normal 11 2 12" xfId="7793" xr:uid="{C663028B-0DF9-4A6F-9405-AFB26D5A0CBD}"/>
    <cellStyle name="Normal 11 2 2" xfId="7794" xr:uid="{3876205A-2FD6-40D3-A089-131CD0EE7127}"/>
    <cellStyle name="Normal 11 2 3" xfId="7795" xr:uid="{0C2AF62D-75D4-465D-8DFB-ED0F26F817CE}"/>
    <cellStyle name="Normal 11 2 4" xfId="7796" xr:uid="{A0F88F1F-1120-45F6-9FE4-760D03EA6078}"/>
    <cellStyle name="Normal 11 2 5" xfId="7797" xr:uid="{09427264-C510-422A-89A5-5D2303BB6DFD}"/>
    <cellStyle name="Normal 11 2 6" xfId="7798" xr:uid="{8BB4D289-26E5-47A1-820C-7CAE3E8AB31F}"/>
    <cellStyle name="Normal 11 2 7" xfId="7799" xr:uid="{A6968794-7324-417E-A3CE-00E3F3389C45}"/>
    <cellStyle name="Normal 11 2 8" xfId="7800" xr:uid="{E75931CB-75EE-496D-8151-F35169DD0E69}"/>
    <cellStyle name="Normal 11 2 9" xfId="7801" xr:uid="{CDA3172C-CD89-4F73-97FF-25FFD4BFA74E}"/>
    <cellStyle name="Normal 11 2_Adjusted bridges" xfId="11101" xr:uid="{962299A6-C413-4D90-83F6-81A34F6EDE3C}"/>
    <cellStyle name="Normal 11 3" xfId="3896" xr:uid="{00000000-0005-0000-0000-00005E0F0000}"/>
    <cellStyle name="Normal 11 4" xfId="3897" xr:uid="{00000000-0005-0000-0000-00005F0F0000}"/>
    <cellStyle name="Normal 11 5" xfId="3898" xr:uid="{00000000-0005-0000-0000-0000600F0000}"/>
    <cellStyle name="Normal 11 6" xfId="7802" xr:uid="{5965F97E-2290-4AAD-9BC7-6404BE51888D}"/>
    <cellStyle name="Normal 11 7" xfId="7803" xr:uid="{CB914AC7-ED78-4685-BE08-C374BC02DBD0}"/>
    <cellStyle name="Normal 11 8" xfId="7804" xr:uid="{B1836AD8-0964-4581-836E-53EDDA9E0F55}"/>
    <cellStyle name="Normal 11 9" xfId="7805" xr:uid="{DBC1B6BB-B836-4EA3-AE68-AA4095C98461}"/>
    <cellStyle name="Normal 11_Acq input" xfId="7806" xr:uid="{6B3BF76C-3D9E-4247-B9AE-089B72CE8E30}"/>
    <cellStyle name="Normal 110" xfId="3899" xr:uid="{00000000-0005-0000-0000-0000620F0000}"/>
    <cellStyle name="Normal 111" xfId="3900" xr:uid="{00000000-0005-0000-0000-0000630F0000}"/>
    <cellStyle name="Normal 112" xfId="3901" xr:uid="{00000000-0005-0000-0000-0000640F0000}"/>
    <cellStyle name="Normal 113" xfId="3902" xr:uid="{00000000-0005-0000-0000-0000650F0000}"/>
    <cellStyle name="Normal 114" xfId="3903" xr:uid="{00000000-0005-0000-0000-0000660F0000}"/>
    <cellStyle name="Normal 115" xfId="3904" xr:uid="{00000000-0005-0000-0000-0000670F0000}"/>
    <cellStyle name="Normal 116" xfId="3905" xr:uid="{00000000-0005-0000-0000-0000680F0000}"/>
    <cellStyle name="Normal 117" xfId="3906" xr:uid="{00000000-0005-0000-0000-0000690F0000}"/>
    <cellStyle name="Normal 118" xfId="3907" xr:uid="{00000000-0005-0000-0000-00006A0F0000}"/>
    <cellStyle name="Normal 119" xfId="3908" xr:uid="{00000000-0005-0000-0000-00006B0F0000}"/>
    <cellStyle name="Normal 12" xfId="315" xr:uid="{00000000-0005-0000-0000-00006C0F0000}"/>
    <cellStyle name="Normal 12 10" xfId="7807" xr:uid="{F3BDFC4C-28F4-4C48-8C3F-63A389B1696A}"/>
    <cellStyle name="Normal 12 11" xfId="7808" xr:uid="{2340BAA9-6DED-401F-96F4-EF88743C76E2}"/>
    <cellStyle name="Normal 12 12" xfId="7809" xr:uid="{E378A685-1068-4A56-9414-D00F8E85B26C}"/>
    <cellStyle name="Normal 12 13" xfId="7810" xr:uid="{9F2CA1B5-071D-485F-977E-21DE3F1832BC}"/>
    <cellStyle name="Normal 12 14" xfId="7811" xr:uid="{6376F525-9A64-40C0-B3BB-6CCF95D35323}"/>
    <cellStyle name="Normal 12 15" xfId="7812" xr:uid="{02AA1075-3BB5-471A-864F-CC2338A54E01}"/>
    <cellStyle name="Normal 12 2" xfId="3909" xr:uid="{00000000-0005-0000-0000-00006D0F0000}"/>
    <cellStyle name="Normal 12 3" xfId="3910" xr:uid="{00000000-0005-0000-0000-00006E0F0000}"/>
    <cellStyle name="Normal 12 4" xfId="3911" xr:uid="{00000000-0005-0000-0000-00006F0F0000}"/>
    <cellStyle name="Normal 12 5" xfId="3912" xr:uid="{00000000-0005-0000-0000-0000700F0000}"/>
    <cellStyle name="Normal 12 6" xfId="7813" xr:uid="{5C80C2BA-09E0-4A35-8234-375EB9D81428}"/>
    <cellStyle name="Normal 12 7" xfId="7814" xr:uid="{340BB2C9-0215-462F-9036-D6A7331D4660}"/>
    <cellStyle name="Normal 12 8" xfId="7815" xr:uid="{A7C3D672-5A80-44CC-A9A2-D089F6D5E8B2}"/>
    <cellStyle name="Normal 12 9" xfId="7816" xr:uid="{8E8B758E-A173-4FA3-BE34-064FBC08B6C2}"/>
    <cellStyle name="Normal 12_Acq input" xfId="7817" xr:uid="{AB83E920-8E6D-4025-BEC8-9AF3E0B2BEE6}"/>
    <cellStyle name="Normal 120" xfId="3913" xr:uid="{00000000-0005-0000-0000-0000720F0000}"/>
    <cellStyle name="Normal 121" xfId="3914" xr:uid="{00000000-0005-0000-0000-0000730F0000}"/>
    <cellStyle name="Normal 122" xfId="3915" xr:uid="{00000000-0005-0000-0000-0000740F0000}"/>
    <cellStyle name="Normal 123" xfId="3916" xr:uid="{00000000-0005-0000-0000-0000750F0000}"/>
    <cellStyle name="Normal 124" xfId="3917" xr:uid="{00000000-0005-0000-0000-0000760F0000}"/>
    <cellStyle name="Normal 125" xfId="3918" xr:uid="{00000000-0005-0000-0000-0000770F0000}"/>
    <cellStyle name="Normal 126" xfId="3919" xr:uid="{00000000-0005-0000-0000-0000780F0000}"/>
    <cellStyle name="Normal 127" xfId="3920" xr:uid="{00000000-0005-0000-0000-0000790F0000}"/>
    <cellStyle name="Normal 128" xfId="3921" xr:uid="{00000000-0005-0000-0000-00007A0F0000}"/>
    <cellStyle name="Normal 129" xfId="3922" xr:uid="{00000000-0005-0000-0000-00007B0F0000}"/>
    <cellStyle name="Normal 13" xfId="316" xr:uid="{00000000-0005-0000-0000-00007C0F0000}"/>
    <cellStyle name="Normal 13 10" xfId="7818" xr:uid="{44B70A49-2725-46AC-B60B-CB195150E0E0}"/>
    <cellStyle name="Normal 13 11" xfId="7819" xr:uid="{A948F83E-C17F-4788-BE6B-430F2386CDDC}"/>
    <cellStyle name="Normal 13 12" xfId="7820" xr:uid="{EDFB1A00-2CC0-46F1-88EE-9696F820B90C}"/>
    <cellStyle name="Normal 13 13" xfId="7821" xr:uid="{D16ACF99-92C6-4469-B859-C074306161AD}"/>
    <cellStyle name="Normal 13 14" xfId="7822" xr:uid="{1D95F511-CFC1-42F7-AF0A-186D24A90A14}"/>
    <cellStyle name="Normal 13 15" xfId="7823" xr:uid="{212D10BA-E80F-491C-8C93-5FBE19AEFE66}"/>
    <cellStyle name="Normal 13 2" xfId="3923" xr:uid="{00000000-0005-0000-0000-00007D0F0000}"/>
    <cellStyle name="Normal 13 2 2" xfId="3924" xr:uid="{00000000-0005-0000-0000-00007E0F0000}"/>
    <cellStyle name="Normal 13 2 2 2" xfId="3925" xr:uid="{00000000-0005-0000-0000-00007F0F0000}"/>
    <cellStyle name="Normal 13 2 2_Adjusted bridges" xfId="11103" xr:uid="{CC015526-4F98-462A-AAA8-2ADEF0188141}"/>
    <cellStyle name="Normal 13 2_Adjusted bridges" xfId="11102" xr:uid="{29CE8D45-EBFA-4978-AE88-24F75A820A75}"/>
    <cellStyle name="Normal 13 3" xfId="3926" xr:uid="{00000000-0005-0000-0000-0000820F0000}"/>
    <cellStyle name="Normal 13 3 2" xfId="3927" xr:uid="{00000000-0005-0000-0000-0000830F0000}"/>
    <cellStyle name="Normal 13 3_Adjusted bridges" xfId="11104" xr:uid="{0CE17829-E4F6-4B0C-AF15-CED053819DA2}"/>
    <cellStyle name="Normal 13 4" xfId="3928" xr:uid="{00000000-0005-0000-0000-0000850F0000}"/>
    <cellStyle name="Normal 13 5" xfId="3929" xr:uid="{00000000-0005-0000-0000-0000860F0000}"/>
    <cellStyle name="Normal 13 6" xfId="7824" xr:uid="{50356612-2C72-425B-BF1B-633ED2B903BF}"/>
    <cellStyle name="Normal 13 7" xfId="7825" xr:uid="{29FC4784-FB35-410D-8CE2-D26FCF888613}"/>
    <cellStyle name="Normal 13 8" xfId="7826" xr:uid="{F4184AAD-5664-4EA2-BFFE-5095932060EC}"/>
    <cellStyle name="Normal 13 9" xfId="7827" xr:uid="{7CC8C186-EE63-4318-8FA4-37D1713778C0}"/>
    <cellStyle name="Normal 13_Acq input" xfId="7828" xr:uid="{5253A5CB-54D8-4883-866B-FC1BEBCFEE26}"/>
    <cellStyle name="Normal 130" xfId="3930" xr:uid="{00000000-0005-0000-0000-0000880F0000}"/>
    <cellStyle name="Normal 131" xfId="3931" xr:uid="{00000000-0005-0000-0000-0000890F0000}"/>
    <cellStyle name="Normal 132" xfId="3932" xr:uid="{00000000-0005-0000-0000-00008A0F0000}"/>
    <cellStyle name="Normal 132 2" xfId="3933" xr:uid="{00000000-0005-0000-0000-00008B0F0000}"/>
    <cellStyle name="Normal 132_Note 14" xfId="3934" xr:uid="{00000000-0005-0000-0000-00008C0F0000}"/>
    <cellStyle name="Normal 133" xfId="3935" xr:uid="{00000000-0005-0000-0000-00008D0F0000}"/>
    <cellStyle name="Normal 134" xfId="3936" xr:uid="{00000000-0005-0000-0000-00008E0F0000}"/>
    <cellStyle name="Normal 135" xfId="3937" xr:uid="{00000000-0005-0000-0000-00008F0F0000}"/>
    <cellStyle name="Normal 136" xfId="3938" xr:uid="{00000000-0005-0000-0000-0000900F0000}"/>
    <cellStyle name="Normal 137" xfId="3939" xr:uid="{00000000-0005-0000-0000-0000910F0000}"/>
    <cellStyle name="Normal 138" xfId="3940" xr:uid="{00000000-0005-0000-0000-0000920F0000}"/>
    <cellStyle name="Normal 139" xfId="3941" xr:uid="{00000000-0005-0000-0000-0000930F0000}"/>
    <cellStyle name="Normal 14" xfId="317" xr:uid="{00000000-0005-0000-0000-0000940F0000}"/>
    <cellStyle name="Normal 14 10" xfId="7829" xr:uid="{72BAC205-334D-4FB3-B38B-E6D93F37FA9B}"/>
    <cellStyle name="Normal 14 11" xfId="7830" xr:uid="{6CED6C1D-502E-460E-9D0A-977ED806FC67}"/>
    <cellStyle name="Normal 14 12" xfId="7831" xr:uid="{13D75756-B8E6-469A-A4C8-33D60E2892ED}"/>
    <cellStyle name="Normal 14 13" xfId="7832" xr:uid="{569903AA-A090-4E97-9276-AC04C324190A}"/>
    <cellStyle name="Normal 14 14" xfId="7833" xr:uid="{21C6C082-0E0C-42C9-AD9D-407F73EF947D}"/>
    <cellStyle name="Normal 14 15" xfId="7834" xr:uid="{1A16F7E6-BA0A-4C7D-A84A-D9ACCFC3233D}"/>
    <cellStyle name="Normal 14 2" xfId="3942" xr:uid="{00000000-0005-0000-0000-0000950F0000}"/>
    <cellStyle name="Normal 14 2 2" xfId="3943" xr:uid="{00000000-0005-0000-0000-0000960F0000}"/>
    <cellStyle name="Normal 14 2 3" xfId="3944" xr:uid="{00000000-0005-0000-0000-0000970F0000}"/>
    <cellStyle name="Normal 14 2 4" xfId="3945" xr:uid="{00000000-0005-0000-0000-0000980F0000}"/>
    <cellStyle name="Normal 14 2 5" xfId="3946" xr:uid="{00000000-0005-0000-0000-0000990F0000}"/>
    <cellStyle name="Normal 14 2_Adjusted bridges" xfId="11105" xr:uid="{A9B288DE-E48E-4FA1-800B-F0CB057CF2B8}"/>
    <cellStyle name="Normal 14 3" xfId="3947" xr:uid="{00000000-0005-0000-0000-00009B0F0000}"/>
    <cellStyle name="Normal 14 4" xfId="3948" xr:uid="{00000000-0005-0000-0000-00009C0F0000}"/>
    <cellStyle name="Normal 14 5" xfId="3949" xr:uid="{00000000-0005-0000-0000-00009D0F0000}"/>
    <cellStyle name="Normal 14 6" xfId="7835" xr:uid="{01050E28-DD9F-49D0-A45B-CE73E515D8B4}"/>
    <cellStyle name="Normal 14 7" xfId="7836" xr:uid="{87E87EF4-D79E-4E97-A88E-D76AEF183496}"/>
    <cellStyle name="Normal 14 8" xfId="7837" xr:uid="{E074B0B5-E336-42D3-A7D7-FA759A9BF9C9}"/>
    <cellStyle name="Normal 14 9" xfId="7838" xr:uid="{9951FFF3-2E9C-47A6-AD1B-F1305D9AF371}"/>
    <cellStyle name="Normal 14_Acq input" xfId="7839" xr:uid="{ACFF164F-93DF-414B-A470-F60678DEE62E}"/>
    <cellStyle name="Normal 140" xfId="3950" xr:uid="{00000000-0005-0000-0000-00009F0F0000}"/>
    <cellStyle name="Normal 141" xfId="3951" xr:uid="{00000000-0005-0000-0000-0000A00F0000}"/>
    <cellStyle name="Normal 142" xfId="3952" xr:uid="{00000000-0005-0000-0000-0000A10F0000}"/>
    <cellStyle name="Normal 143" xfId="3953" xr:uid="{00000000-0005-0000-0000-0000A20F0000}"/>
    <cellStyle name="Normal 144" xfId="3954" xr:uid="{00000000-0005-0000-0000-0000A30F0000}"/>
    <cellStyle name="Normal 145" xfId="3955" xr:uid="{00000000-0005-0000-0000-0000A40F0000}"/>
    <cellStyle name="Normal 146" xfId="3956" xr:uid="{00000000-0005-0000-0000-0000A50F0000}"/>
    <cellStyle name="Normal 147" xfId="3957" xr:uid="{00000000-0005-0000-0000-0000A60F0000}"/>
    <cellStyle name="Normal 148" xfId="3958" xr:uid="{00000000-0005-0000-0000-0000A70F0000}"/>
    <cellStyle name="Normal 149" xfId="3959" xr:uid="{00000000-0005-0000-0000-0000A80F0000}"/>
    <cellStyle name="Normal 15" xfId="318" xr:uid="{00000000-0005-0000-0000-0000A90F0000}"/>
    <cellStyle name="Normal 15 10" xfId="7840" xr:uid="{4E21448E-DF23-4DCB-87E3-D33BFE1CE978}"/>
    <cellStyle name="Normal 15 11" xfId="7841" xr:uid="{B423CEAC-BD3E-43BE-99EB-DC13E1661A50}"/>
    <cellStyle name="Normal 15 12" xfId="7842" xr:uid="{64314721-03F1-4F87-9729-7F0FD798ADB5}"/>
    <cellStyle name="Normal 15 13" xfId="7843" xr:uid="{4648941A-903C-45FC-B949-98473CA26CAE}"/>
    <cellStyle name="Normal 15 14" xfId="7844" xr:uid="{6F80FCFE-7498-4519-B236-C1D48AA74D2A}"/>
    <cellStyle name="Normal 15 15" xfId="7845" xr:uid="{BEFE537C-308E-4FC9-8413-2326771A6224}"/>
    <cellStyle name="Normal 15 2" xfId="3960" xr:uid="{00000000-0005-0000-0000-0000AA0F0000}"/>
    <cellStyle name="Normal 15 3" xfId="3961" xr:uid="{00000000-0005-0000-0000-0000AB0F0000}"/>
    <cellStyle name="Normal 15 4" xfId="3962" xr:uid="{00000000-0005-0000-0000-0000AC0F0000}"/>
    <cellStyle name="Normal 15 5" xfId="3963" xr:uid="{00000000-0005-0000-0000-0000AD0F0000}"/>
    <cellStyle name="Normal 15 6" xfId="7846" xr:uid="{56BF7F3A-CB8A-4EBF-B979-B0EEB1776B5B}"/>
    <cellStyle name="Normal 15 7" xfId="7847" xr:uid="{C61D406E-91FC-409A-991C-4B948FD278EC}"/>
    <cellStyle name="Normal 15 8" xfId="7848" xr:uid="{49F1745C-A511-403B-9D42-36F0BFE46E32}"/>
    <cellStyle name="Normal 15 9" xfId="7849" xr:uid="{487A34A0-570E-477D-86B5-F1B46B7F614A}"/>
    <cellStyle name="Normal 15_Acq input" xfId="7850" xr:uid="{A9039949-923D-4ED7-ABC3-53DB94E93F11}"/>
    <cellStyle name="Normal 150" xfId="3964" xr:uid="{00000000-0005-0000-0000-0000AF0F0000}"/>
    <cellStyle name="Normal 151" xfId="3965" xr:uid="{00000000-0005-0000-0000-0000B00F0000}"/>
    <cellStyle name="Normal 152" xfId="3966" xr:uid="{00000000-0005-0000-0000-0000B10F0000}"/>
    <cellStyle name="Normal 153" xfId="3967" xr:uid="{00000000-0005-0000-0000-0000B20F0000}"/>
    <cellStyle name="Normal 154" xfId="3968" xr:uid="{00000000-0005-0000-0000-0000B30F0000}"/>
    <cellStyle name="Normal 155" xfId="3969" xr:uid="{00000000-0005-0000-0000-0000B40F0000}"/>
    <cellStyle name="Normal 156" xfId="3970" xr:uid="{00000000-0005-0000-0000-0000B50F0000}"/>
    <cellStyle name="Normal 157" xfId="3971" xr:uid="{00000000-0005-0000-0000-0000B60F0000}"/>
    <cellStyle name="Normal 158" xfId="3972" xr:uid="{00000000-0005-0000-0000-0000B70F0000}"/>
    <cellStyle name="Normal 159" xfId="3973" xr:uid="{00000000-0005-0000-0000-0000B80F0000}"/>
    <cellStyle name="Normal 16" xfId="319" xr:uid="{00000000-0005-0000-0000-0000B90F0000}"/>
    <cellStyle name="Normal 16 10" xfId="7851" xr:uid="{F7E51D3F-C361-4873-844F-455C107D60E6}"/>
    <cellStyle name="Normal 16 11" xfId="7852" xr:uid="{0DFDFD2B-AC27-4503-89D7-84959D038147}"/>
    <cellStyle name="Normal 16 12" xfId="7853" xr:uid="{C2804340-AA19-4113-807A-E4D3EA715CA8}"/>
    <cellStyle name="Normal 16 13" xfId="7854" xr:uid="{30291C5C-1F4C-4497-A423-5295F8E71759}"/>
    <cellStyle name="Normal 16 14" xfId="7855" xr:uid="{E0F59A57-D075-495B-A0B2-6DE2D32000FE}"/>
    <cellStyle name="Normal 16 15" xfId="7856" xr:uid="{7735F34F-D3D5-4347-928E-C3E2AC55FED8}"/>
    <cellStyle name="Normal 16 2" xfId="3974" xr:uid="{00000000-0005-0000-0000-0000BA0F0000}"/>
    <cellStyle name="Normal 16 3" xfId="3975" xr:uid="{00000000-0005-0000-0000-0000BB0F0000}"/>
    <cellStyle name="Normal 16 4" xfId="3976" xr:uid="{00000000-0005-0000-0000-0000BC0F0000}"/>
    <cellStyle name="Normal 16 5" xfId="3977" xr:uid="{00000000-0005-0000-0000-0000BD0F0000}"/>
    <cellStyle name="Normal 16 6" xfId="7857" xr:uid="{9BA4998C-5167-446B-BBF5-3C23C47D98ED}"/>
    <cellStyle name="Normal 16 7" xfId="7858" xr:uid="{81E02F65-218B-42BB-BFD0-5F62781FECD4}"/>
    <cellStyle name="Normal 16 8" xfId="7859" xr:uid="{E595CD04-71D0-47CE-ACED-8376F0D39CD2}"/>
    <cellStyle name="Normal 16 9" xfId="7860" xr:uid="{813B2F2F-A685-4D8D-BC65-C345E8173876}"/>
    <cellStyle name="Normal 16_14Geo" xfId="3978" xr:uid="{00000000-0005-0000-0000-0000BE0F0000}"/>
    <cellStyle name="Normal 160" xfId="3979" xr:uid="{00000000-0005-0000-0000-0000BF0F0000}"/>
    <cellStyle name="Normal 161" xfId="3980" xr:uid="{00000000-0005-0000-0000-0000C00F0000}"/>
    <cellStyle name="Normal 162" xfId="3981" xr:uid="{00000000-0005-0000-0000-0000C10F0000}"/>
    <cellStyle name="Normal 163" xfId="3982" xr:uid="{00000000-0005-0000-0000-0000C20F0000}"/>
    <cellStyle name="Normal 164" xfId="3983" xr:uid="{00000000-0005-0000-0000-0000C30F0000}"/>
    <cellStyle name="Normal 165" xfId="3984" xr:uid="{00000000-0005-0000-0000-0000C40F0000}"/>
    <cellStyle name="Normal 166" xfId="3985" xr:uid="{00000000-0005-0000-0000-0000C50F0000}"/>
    <cellStyle name="Normal 167" xfId="3986" xr:uid="{00000000-0005-0000-0000-0000C60F0000}"/>
    <cellStyle name="Normal 168" xfId="3987" xr:uid="{00000000-0005-0000-0000-0000C70F0000}"/>
    <cellStyle name="Normal 169" xfId="3988" xr:uid="{00000000-0005-0000-0000-0000C80F0000}"/>
    <cellStyle name="Normal 17" xfId="5" xr:uid="{00000000-0005-0000-0000-0000C90F0000}"/>
    <cellStyle name="Normal 17 10" xfId="7861" xr:uid="{8D4D3393-428C-4208-878E-AF6098C6F6A7}"/>
    <cellStyle name="Normal 17 11" xfId="7862" xr:uid="{BE6AFBA3-39AC-48D8-8680-2A92522ADF9B}"/>
    <cellStyle name="Normal 17 12" xfId="7863" xr:uid="{04144B6B-A803-4216-9DFF-09977AFBA521}"/>
    <cellStyle name="Normal 17 13" xfId="7864" xr:uid="{ACACA689-0383-423E-840E-308C861BCA65}"/>
    <cellStyle name="Normal 17 14" xfId="7865" xr:uid="{FF22A299-D5B8-4D71-B726-3FB3CA136C5E}"/>
    <cellStyle name="Normal 17 15" xfId="7866" xr:uid="{9DF708BA-913D-4F12-A2C5-F99C4FD87EA2}"/>
    <cellStyle name="Normal 17 2" xfId="320" xr:uid="{00000000-0005-0000-0000-0000CA0F0000}"/>
    <cellStyle name="Normal 17 3" xfId="3989" xr:uid="{00000000-0005-0000-0000-0000CB0F0000}"/>
    <cellStyle name="Normal 17 4" xfId="3990" xr:uid="{00000000-0005-0000-0000-0000CC0F0000}"/>
    <cellStyle name="Normal 17 5" xfId="3991" xr:uid="{00000000-0005-0000-0000-0000CD0F0000}"/>
    <cellStyle name="Normal 17 6" xfId="7867" xr:uid="{C07FF7E6-5584-431F-9E74-3861EFCF51CE}"/>
    <cellStyle name="Normal 17 7" xfId="7868" xr:uid="{AF8D09BF-4B9C-4543-AF14-2CE10A10601D}"/>
    <cellStyle name="Normal 17 8" xfId="7869" xr:uid="{D06367C5-8081-427C-A202-DC5E609EE46D}"/>
    <cellStyle name="Normal 17 9" xfId="7870" xr:uid="{8A15A60F-91F8-4C32-AF7C-19950F47EA8F}"/>
    <cellStyle name="Normal 17_1 KeyFig" xfId="3992" xr:uid="{00000000-0005-0000-0000-0000CE0F0000}"/>
    <cellStyle name="Normal 170" xfId="3993" xr:uid="{00000000-0005-0000-0000-0000CF0F0000}"/>
    <cellStyle name="Normal 171" xfId="3994" xr:uid="{00000000-0005-0000-0000-0000D00F0000}"/>
    <cellStyle name="Normal 172" xfId="3995" xr:uid="{00000000-0005-0000-0000-0000D10F0000}"/>
    <cellStyle name="Normal 173" xfId="3996" xr:uid="{00000000-0005-0000-0000-0000D20F0000}"/>
    <cellStyle name="Normal 174" xfId="3997" xr:uid="{00000000-0005-0000-0000-0000D30F0000}"/>
    <cellStyle name="Normal 175" xfId="3998" xr:uid="{00000000-0005-0000-0000-0000D40F0000}"/>
    <cellStyle name="Normal 176" xfId="3999" xr:uid="{00000000-0005-0000-0000-0000D50F0000}"/>
    <cellStyle name="Normal 177" xfId="4000" xr:uid="{00000000-0005-0000-0000-0000D60F0000}"/>
    <cellStyle name="Normal 178" xfId="4001" xr:uid="{00000000-0005-0000-0000-0000D70F0000}"/>
    <cellStyle name="Normal 179" xfId="4002" xr:uid="{00000000-0005-0000-0000-0000D80F0000}"/>
    <cellStyle name="Normal 18" xfId="321" xr:uid="{00000000-0005-0000-0000-0000D90F0000}"/>
    <cellStyle name="Normal 18 2" xfId="322" xr:uid="{00000000-0005-0000-0000-0000DA0F0000}"/>
    <cellStyle name="Normal 18 3" xfId="7871" xr:uid="{E7D6B420-996B-4BD1-B85E-0D64A1560C2F}"/>
    <cellStyle name="Normal 18_1 KeyFig" xfId="4003" xr:uid="{00000000-0005-0000-0000-0000DB0F0000}"/>
    <cellStyle name="Normal 180" xfId="4004" xr:uid="{00000000-0005-0000-0000-0000DC0F0000}"/>
    <cellStyle name="Normal 181" xfId="4005" xr:uid="{00000000-0005-0000-0000-0000DD0F0000}"/>
    <cellStyle name="Normal 181 2" xfId="4006" xr:uid="{00000000-0005-0000-0000-0000DE0F0000}"/>
    <cellStyle name="Normal 181_Adjusted bridges" xfId="11106" xr:uid="{A44FDB48-1AA8-4DD3-8CC4-C9C9A0A3EFDE}"/>
    <cellStyle name="Normal 182" xfId="11696" xr:uid="{FF817633-22E4-4241-A8DA-4F781B76A1A7}"/>
    <cellStyle name="Normal 189" xfId="4007" xr:uid="{00000000-0005-0000-0000-0000DF0F0000}"/>
    <cellStyle name="Normal 189 2" xfId="4008" xr:uid="{00000000-0005-0000-0000-0000E00F0000}"/>
    <cellStyle name="Normal 189_1 KeyFig" xfId="4009" xr:uid="{00000000-0005-0000-0000-0000E10F0000}"/>
    <cellStyle name="Normal 19" xfId="323" xr:uid="{00000000-0005-0000-0000-0000E20F0000}"/>
    <cellStyle name="Normal 19 10" xfId="7872" xr:uid="{7EEC7FF3-A376-486B-82F6-738E9BF65AC9}"/>
    <cellStyle name="Normal 19 11" xfId="7873" xr:uid="{DE59CC6F-873B-4411-9718-0B3AC7F9518D}"/>
    <cellStyle name="Normal 19 12" xfId="7874" xr:uid="{EC8736CF-9DC4-4AAE-AA77-160AECD9C684}"/>
    <cellStyle name="Normal 19 13" xfId="7875" xr:uid="{B411BEE9-C69E-4EE1-9B93-1DC1C4C53FC5}"/>
    <cellStyle name="Normal 19 14" xfId="7876" xr:uid="{6777A621-DFF6-42EC-8C33-C096EA6EA118}"/>
    <cellStyle name="Normal 19 15" xfId="7877" xr:uid="{97B8B81B-C8AA-49B8-B72C-28FC60F1C7A8}"/>
    <cellStyle name="Normal 19 2" xfId="4010" xr:uid="{00000000-0005-0000-0000-0000E30F0000}"/>
    <cellStyle name="Normal 19 3" xfId="4011" xr:uid="{00000000-0005-0000-0000-0000E40F0000}"/>
    <cellStyle name="Normal 19 4" xfId="4012" xr:uid="{00000000-0005-0000-0000-0000E50F0000}"/>
    <cellStyle name="Normal 19 5" xfId="4013" xr:uid="{00000000-0005-0000-0000-0000E60F0000}"/>
    <cellStyle name="Normal 19 6" xfId="7878" xr:uid="{892DBC3E-90F9-489C-A295-792EFEAD717A}"/>
    <cellStyle name="Normal 19 7" xfId="7879" xr:uid="{014499D9-ABC0-465B-9681-F652E1EA656F}"/>
    <cellStyle name="Normal 19 8" xfId="7880" xr:uid="{24FBDE71-34D3-43E0-8059-F163DC186740}"/>
    <cellStyle name="Normal 19 9" xfId="7881" xr:uid="{D271F913-F3B9-4543-A8EA-D9EB54B6D2D9}"/>
    <cellStyle name="Normal 19_1 KeyFig" xfId="4014" xr:uid="{00000000-0005-0000-0000-0000E70F0000}"/>
    <cellStyle name="Normal 2" xfId="4" xr:uid="{00000000-0005-0000-0000-0000E80F0000}"/>
    <cellStyle name="Normal 2 10" xfId="4015" xr:uid="{00000000-0005-0000-0000-0000E90F0000}"/>
    <cellStyle name="Normal 2 10 10" xfId="7882" xr:uid="{AB9BC0EC-5587-4617-A7A5-06D792F09DB5}"/>
    <cellStyle name="Normal 2 10_Adjusted bridges" xfId="11107" xr:uid="{D429A66C-143F-417C-91D4-F2854D446A25}"/>
    <cellStyle name="Normal 2 100" xfId="7883" xr:uid="{8D5950AD-070C-4718-A270-6918AA84C927}"/>
    <cellStyle name="Normal 2 101" xfId="7884" xr:uid="{7D0E3FAC-CEE8-4114-9B28-9F829A445247}"/>
    <cellStyle name="Normal 2 102" xfId="7885" xr:uid="{F9AAFC09-9C82-4D92-8837-342B3F27C227}"/>
    <cellStyle name="Normal 2 103" xfId="7886" xr:uid="{BB73B65B-346B-4ED7-A909-DDC1F422F2B5}"/>
    <cellStyle name="Normal 2 104" xfId="7887" xr:uid="{F13EA1EC-8F5D-4CCB-881C-22BF7BBF2D61}"/>
    <cellStyle name="Normal 2 105" xfId="7888" xr:uid="{FEFED969-9C60-4151-9186-B18E8537ED6F}"/>
    <cellStyle name="Normal 2 106" xfId="7889" xr:uid="{4023A6A2-BC88-4AA5-82FF-734C9C08184E}"/>
    <cellStyle name="Normal 2 107" xfId="7890" xr:uid="{6F939A68-3245-49DC-8856-488F40CB6E91}"/>
    <cellStyle name="Normal 2 108" xfId="7891" xr:uid="{61BBF42A-2AB6-45AE-AAC6-EB29FB37AFF0}"/>
    <cellStyle name="Normal 2 109" xfId="7892" xr:uid="{9B8DDECE-5EBC-4390-93D5-9480D11E3900}"/>
    <cellStyle name="Normal 2 11" xfId="4016" xr:uid="{00000000-0005-0000-0000-0000EA0F0000}"/>
    <cellStyle name="Normal 2 11 2" xfId="4017" xr:uid="{00000000-0005-0000-0000-0000EB0F0000}"/>
    <cellStyle name="Normal 2 11_1 KeyFig" xfId="4018" xr:uid="{00000000-0005-0000-0000-0000EC0F0000}"/>
    <cellStyle name="Normal 2 110" xfId="7893" xr:uid="{AB4B4434-F880-4475-ABC0-8386F441E41A}"/>
    <cellStyle name="Normal 2 12" xfId="4019" xr:uid="{00000000-0005-0000-0000-0000ED0F0000}"/>
    <cellStyle name="Normal 2 12 2" xfId="4020" xr:uid="{00000000-0005-0000-0000-0000EE0F0000}"/>
    <cellStyle name="Normal 2 12 3" xfId="4021" xr:uid="{00000000-0005-0000-0000-0000EF0F0000}"/>
    <cellStyle name="Normal 2 12_1 KeyFig" xfId="4022" xr:uid="{00000000-0005-0000-0000-0000F00F0000}"/>
    <cellStyle name="Normal 2 13" xfId="4023" xr:uid="{00000000-0005-0000-0000-0000F10F0000}"/>
    <cellStyle name="Normal 2 13 2" xfId="4024" xr:uid="{00000000-0005-0000-0000-0000F20F0000}"/>
    <cellStyle name="Normal 2 13_1 KeyFig" xfId="4025" xr:uid="{00000000-0005-0000-0000-0000F30F0000}"/>
    <cellStyle name="Normal 2 14" xfId="4026" xr:uid="{00000000-0005-0000-0000-0000F40F0000}"/>
    <cellStyle name="Normal 2 14 2" xfId="4027" xr:uid="{00000000-0005-0000-0000-0000F50F0000}"/>
    <cellStyle name="Normal 2 14_1 KeyFig" xfId="4028" xr:uid="{00000000-0005-0000-0000-0000F60F0000}"/>
    <cellStyle name="Normal 2 15" xfId="4029" xr:uid="{00000000-0005-0000-0000-0000F70F0000}"/>
    <cellStyle name="Normal 2 15 2" xfId="4030" xr:uid="{00000000-0005-0000-0000-0000F80F0000}"/>
    <cellStyle name="Normal 2 15_1 KeyFig" xfId="4031" xr:uid="{00000000-0005-0000-0000-0000F90F0000}"/>
    <cellStyle name="Normal 2 16" xfId="4032" xr:uid="{00000000-0005-0000-0000-0000FA0F0000}"/>
    <cellStyle name="Normal 2 16 2" xfId="4033" xr:uid="{00000000-0005-0000-0000-0000FB0F0000}"/>
    <cellStyle name="Normal 2 16_1 KeyFig" xfId="4034" xr:uid="{00000000-0005-0000-0000-0000FC0F0000}"/>
    <cellStyle name="Normal 2 17" xfId="4035" xr:uid="{00000000-0005-0000-0000-0000FD0F0000}"/>
    <cellStyle name="Normal 2 18" xfId="4036" xr:uid="{00000000-0005-0000-0000-0000FE0F0000}"/>
    <cellStyle name="Normal 2 18 2" xfId="4037" xr:uid="{00000000-0005-0000-0000-0000FF0F0000}"/>
    <cellStyle name="Normal 2 18_1 KeyFig" xfId="4038" xr:uid="{00000000-0005-0000-0000-000000100000}"/>
    <cellStyle name="Normal 2 19" xfId="4039" xr:uid="{00000000-0005-0000-0000-000001100000}"/>
    <cellStyle name="Normal 2 19 2" xfId="4040" xr:uid="{00000000-0005-0000-0000-000002100000}"/>
    <cellStyle name="Normal 2 19_1 KeyFig" xfId="4041" xr:uid="{00000000-0005-0000-0000-000003100000}"/>
    <cellStyle name="Normal 2 2" xfId="324" xr:uid="{00000000-0005-0000-0000-000004100000}"/>
    <cellStyle name="Normal 2 2 10" xfId="4042" xr:uid="{00000000-0005-0000-0000-000005100000}"/>
    <cellStyle name="Normal 2 2 11" xfId="4043" xr:uid="{00000000-0005-0000-0000-000006100000}"/>
    <cellStyle name="Normal 2 2 12" xfId="4044" xr:uid="{00000000-0005-0000-0000-000007100000}"/>
    <cellStyle name="Normal 2 2 13" xfId="4045" xr:uid="{00000000-0005-0000-0000-000008100000}"/>
    <cellStyle name="Normal 2 2 2" xfId="325" xr:uid="{00000000-0005-0000-0000-000009100000}"/>
    <cellStyle name="Normal 2 2 2 2" xfId="4046" xr:uid="{00000000-0005-0000-0000-00000A100000}"/>
    <cellStyle name="Normal 2 2 2 3" xfId="4047" xr:uid="{00000000-0005-0000-0000-00000B100000}"/>
    <cellStyle name="Normal 2 2 2 4" xfId="4048" xr:uid="{00000000-0005-0000-0000-00000C100000}"/>
    <cellStyle name="Normal 2 2 2_1 KeyFig" xfId="4049" xr:uid="{00000000-0005-0000-0000-00000D100000}"/>
    <cellStyle name="Normal 2 2 3" xfId="4050" xr:uid="{00000000-0005-0000-0000-00000E100000}"/>
    <cellStyle name="Normal 2 2 3 2" xfId="4051" xr:uid="{00000000-0005-0000-0000-00000F100000}"/>
    <cellStyle name="Normal 2 2 3 3" xfId="4052" xr:uid="{00000000-0005-0000-0000-000010100000}"/>
    <cellStyle name="Normal 2 2 3 4" xfId="4053" xr:uid="{00000000-0005-0000-0000-000011100000}"/>
    <cellStyle name="Normal 2 2 3 5" xfId="4054" xr:uid="{00000000-0005-0000-0000-000012100000}"/>
    <cellStyle name="Normal 2 2 3_1 KeyFig" xfId="4055" xr:uid="{00000000-0005-0000-0000-000013100000}"/>
    <cellStyle name="Normal 2 2 4" xfId="4056" xr:uid="{00000000-0005-0000-0000-000014100000}"/>
    <cellStyle name="Normal 2 2 4 2" xfId="4057" xr:uid="{00000000-0005-0000-0000-000015100000}"/>
    <cellStyle name="Normal 2 2 4 3" xfId="4058" xr:uid="{00000000-0005-0000-0000-000016100000}"/>
    <cellStyle name="Normal 2 2 4 4" xfId="4059" xr:uid="{00000000-0005-0000-0000-000017100000}"/>
    <cellStyle name="Normal 2 2 4 5" xfId="4060" xr:uid="{00000000-0005-0000-0000-000018100000}"/>
    <cellStyle name="Normal 2 2 4_1 KeyFig" xfId="4061" xr:uid="{00000000-0005-0000-0000-000019100000}"/>
    <cellStyle name="Normal 2 2 5" xfId="4062" xr:uid="{00000000-0005-0000-0000-00001A100000}"/>
    <cellStyle name="Normal 2 2 5 2" xfId="4063" xr:uid="{00000000-0005-0000-0000-00001B100000}"/>
    <cellStyle name="Normal 2 2 5_1 KeyFig" xfId="4064" xr:uid="{00000000-0005-0000-0000-00001C100000}"/>
    <cellStyle name="Normal 2 2 6" xfId="4065" xr:uid="{00000000-0005-0000-0000-00001D100000}"/>
    <cellStyle name="Normal 2 2 6 2" xfId="4066" xr:uid="{00000000-0005-0000-0000-00001E100000}"/>
    <cellStyle name="Normal 2 2 6 3" xfId="4067" xr:uid="{00000000-0005-0000-0000-00001F100000}"/>
    <cellStyle name="Normal 2 2 6 4" xfId="4068" xr:uid="{00000000-0005-0000-0000-000020100000}"/>
    <cellStyle name="Normal 2 2 6 5" xfId="4069" xr:uid="{00000000-0005-0000-0000-000021100000}"/>
    <cellStyle name="Normal 2 2 6_1 KeyFig" xfId="4070" xr:uid="{00000000-0005-0000-0000-000022100000}"/>
    <cellStyle name="Normal 2 2 7" xfId="4071" xr:uid="{00000000-0005-0000-0000-000023100000}"/>
    <cellStyle name="Normal 2 2 7 2" xfId="4072" xr:uid="{00000000-0005-0000-0000-000024100000}"/>
    <cellStyle name="Normal 2 2 7_1 KeyFig" xfId="4073" xr:uid="{00000000-0005-0000-0000-000025100000}"/>
    <cellStyle name="Normal 2 2 8" xfId="4074" xr:uid="{00000000-0005-0000-0000-000026100000}"/>
    <cellStyle name="Normal 2 2 8 2" xfId="4075" xr:uid="{00000000-0005-0000-0000-000027100000}"/>
    <cellStyle name="Normal 2 2 8_1 KeyFig" xfId="4076" xr:uid="{00000000-0005-0000-0000-000028100000}"/>
    <cellStyle name="Normal 2 2 9" xfId="4077" xr:uid="{00000000-0005-0000-0000-000029100000}"/>
    <cellStyle name="Normal 2 2 9 2" xfId="4078" xr:uid="{00000000-0005-0000-0000-00002A100000}"/>
    <cellStyle name="Normal 2 2 9_1 KeyFig" xfId="4079" xr:uid="{00000000-0005-0000-0000-00002B100000}"/>
    <cellStyle name="Normal 2 2_1 KeyFig" xfId="4080" xr:uid="{00000000-0005-0000-0000-00002C100000}"/>
    <cellStyle name="Normal 2 20" xfId="4081" xr:uid="{00000000-0005-0000-0000-00002D100000}"/>
    <cellStyle name="Normal 2 21" xfId="4082" xr:uid="{00000000-0005-0000-0000-00002E100000}"/>
    <cellStyle name="Normal 2 22" xfId="4083" xr:uid="{00000000-0005-0000-0000-00002F100000}"/>
    <cellStyle name="Normal 2 23" xfId="4084" xr:uid="{00000000-0005-0000-0000-000030100000}"/>
    <cellStyle name="Normal 2 24" xfId="7894" xr:uid="{ECDA731F-18A4-47E4-BAB5-F412981EF7A5}"/>
    <cellStyle name="Normal 2 25" xfId="7895" xr:uid="{38C23C84-F550-400C-9DCA-4263F32F8AE4}"/>
    <cellStyle name="Normal 2 26" xfId="7896" xr:uid="{B9560609-BC90-470C-8029-BE525B51C7A4}"/>
    <cellStyle name="Normal 2 27" xfId="7897" xr:uid="{C63D089D-127D-40A1-A133-8CC3AF56143F}"/>
    <cellStyle name="Normal 2 28" xfId="7898" xr:uid="{8200ADC8-2E5A-4BB8-BEA6-D70D3A5F8583}"/>
    <cellStyle name="Normal 2 29" xfId="7899" xr:uid="{8DBC2667-CF23-4BEA-941F-13CC588E3D94}"/>
    <cellStyle name="Normal 2 3" xfId="326" xr:uid="{00000000-0005-0000-0000-000031100000}"/>
    <cellStyle name="Normal 2 3 10" xfId="7900" xr:uid="{EAB0640A-9CDD-42A0-8834-4E3306FD2AC0}"/>
    <cellStyle name="Normal 2 3 11" xfId="7901" xr:uid="{4C47798E-28D7-4269-AAF2-FFD6FEBB926A}"/>
    <cellStyle name="Normal 2 3 12" xfId="7902" xr:uid="{FFBACECB-9C92-4ABF-8F8C-CBBDA6F66591}"/>
    <cellStyle name="Normal 2 3 2" xfId="4085" xr:uid="{00000000-0005-0000-0000-000032100000}"/>
    <cellStyle name="Normal 2 3 2 2" xfId="4086" xr:uid="{00000000-0005-0000-0000-000033100000}"/>
    <cellStyle name="Normal 2 3 2 3" xfId="4087" xr:uid="{00000000-0005-0000-0000-000034100000}"/>
    <cellStyle name="Normal 2 3 2 4" xfId="4088" xr:uid="{00000000-0005-0000-0000-000035100000}"/>
    <cellStyle name="Normal 2 3 2 5" xfId="4089" xr:uid="{00000000-0005-0000-0000-000036100000}"/>
    <cellStyle name="Normal 2 3 2_1 KeyFig" xfId="4090" xr:uid="{00000000-0005-0000-0000-000037100000}"/>
    <cellStyle name="Normal 2 3 3" xfId="4091" xr:uid="{00000000-0005-0000-0000-000038100000}"/>
    <cellStyle name="Normal 2 3 3 2" xfId="4092" xr:uid="{00000000-0005-0000-0000-000039100000}"/>
    <cellStyle name="Normal 2 3 3 3" xfId="4093" xr:uid="{00000000-0005-0000-0000-00003A100000}"/>
    <cellStyle name="Normal 2 3 3 4" xfId="4094" xr:uid="{00000000-0005-0000-0000-00003B100000}"/>
    <cellStyle name="Normal 2 3 3 5" xfId="4095" xr:uid="{00000000-0005-0000-0000-00003C100000}"/>
    <cellStyle name="Normal 2 3 3_1 KeyFig" xfId="4096" xr:uid="{00000000-0005-0000-0000-00003D100000}"/>
    <cellStyle name="Normal 2 3 4" xfId="4097" xr:uid="{00000000-0005-0000-0000-00003E100000}"/>
    <cellStyle name="Normal 2 3 4 2" xfId="4098" xr:uid="{00000000-0005-0000-0000-00003F100000}"/>
    <cellStyle name="Normal 2 3 4 2 2" xfId="4099" xr:uid="{00000000-0005-0000-0000-000040100000}"/>
    <cellStyle name="Normal 2 3 4 2_Adjusted bridges" xfId="11108" xr:uid="{B26EE9E5-0D93-4AD6-8C0A-26CEBE5430E0}"/>
    <cellStyle name="Normal 2 3 4 3" xfId="4100" xr:uid="{00000000-0005-0000-0000-000042100000}"/>
    <cellStyle name="Normal 2 3 4 4" xfId="4101" xr:uid="{00000000-0005-0000-0000-000043100000}"/>
    <cellStyle name="Normal 2 3 4 5" xfId="4102" xr:uid="{00000000-0005-0000-0000-000044100000}"/>
    <cellStyle name="Normal 2 3 4_1 KeyFig" xfId="4103" xr:uid="{00000000-0005-0000-0000-000045100000}"/>
    <cellStyle name="Normal 2 3 5" xfId="4104" xr:uid="{00000000-0005-0000-0000-000046100000}"/>
    <cellStyle name="Normal 2 3 6" xfId="4105" xr:uid="{00000000-0005-0000-0000-000047100000}"/>
    <cellStyle name="Normal 2 3 7" xfId="4106" xr:uid="{00000000-0005-0000-0000-000048100000}"/>
    <cellStyle name="Normal 2 3 8" xfId="4107" xr:uid="{00000000-0005-0000-0000-000049100000}"/>
    <cellStyle name="Normal 2 3 9" xfId="4108" xr:uid="{00000000-0005-0000-0000-00004A100000}"/>
    <cellStyle name="Normal 2 3_1 KeyFig" xfId="4109" xr:uid="{00000000-0005-0000-0000-00004B100000}"/>
    <cellStyle name="Normal 2 30" xfId="7903" xr:uid="{6F8D0DC7-A2CD-40CD-8852-14C738272E1D}"/>
    <cellStyle name="Normal 2 31" xfId="7904" xr:uid="{4E3DBBDE-CCBA-47C9-B571-A6FFB8FF37DB}"/>
    <cellStyle name="Normal 2 32" xfId="7905" xr:uid="{60133F1A-7FBB-4CA3-9F01-7A2467A43EC5}"/>
    <cellStyle name="Normal 2 33" xfId="7906" xr:uid="{18DD9048-6D9B-42A2-A3FD-D2AEEA54DFE7}"/>
    <cellStyle name="Normal 2 34" xfId="7907" xr:uid="{8F292045-55E3-4616-B479-6A3604F34EFA}"/>
    <cellStyle name="Normal 2 35" xfId="7908" xr:uid="{ACA089E6-052D-4700-8FF1-9F4DBDA50D8F}"/>
    <cellStyle name="Normal 2 36" xfId="7909" xr:uid="{F3301E72-0D30-4920-86A0-0E2C1589758E}"/>
    <cellStyle name="Normal 2 37" xfId="7910" xr:uid="{3FE150FB-84D3-44D6-8D7A-8AF809026A6A}"/>
    <cellStyle name="Normal 2 38" xfId="7911" xr:uid="{861BC753-F73F-421B-B3D4-9EF4F2F48AEE}"/>
    <cellStyle name="Normal 2 39" xfId="7912" xr:uid="{8C0239E4-EC9D-48BA-9333-210F72C6619A}"/>
    <cellStyle name="Normal 2 4" xfId="4110" xr:uid="{00000000-0005-0000-0000-00004C100000}"/>
    <cellStyle name="Normal 2 4 10" xfId="7913" xr:uid="{02603ABF-58FB-402E-9B3D-3C7958A29663}"/>
    <cellStyle name="Normal 2 4 11" xfId="7914" xr:uid="{B9D5CB62-8ABE-4830-B592-C81BC1BB44AB}"/>
    <cellStyle name="Normal 2 4 12" xfId="7915" xr:uid="{4D896D4B-0D4B-4173-AC5F-434FBD35B905}"/>
    <cellStyle name="Normal 2 4 2" xfId="4111" xr:uid="{00000000-0005-0000-0000-00004D100000}"/>
    <cellStyle name="Normal 2 4 3" xfId="4112" xr:uid="{00000000-0005-0000-0000-00004E100000}"/>
    <cellStyle name="Normal 2 4 4" xfId="4113" xr:uid="{00000000-0005-0000-0000-00004F100000}"/>
    <cellStyle name="Normal 2 4 5" xfId="4114" xr:uid="{00000000-0005-0000-0000-000050100000}"/>
    <cellStyle name="Normal 2 4 6" xfId="4115" xr:uid="{00000000-0005-0000-0000-000051100000}"/>
    <cellStyle name="Normal 2 4 7" xfId="4116" xr:uid="{00000000-0005-0000-0000-000052100000}"/>
    <cellStyle name="Normal 2 4 7 2" xfId="7916" xr:uid="{EB35095C-A611-4F95-99E9-BE849B2B6D3F}"/>
    <cellStyle name="Normal 2 4 7_Adjusted bridges" xfId="11109" xr:uid="{FFC34E0F-B9A6-4918-B9DE-18C055AC6B66}"/>
    <cellStyle name="Normal 2 4 8" xfId="7917" xr:uid="{BB7F7F24-37DD-409E-B396-20971F70BF2F}"/>
    <cellStyle name="Normal 2 4 9" xfId="7918" xr:uid="{1B0448BF-321A-4E82-938F-D3A89F563F36}"/>
    <cellStyle name="Normal 2 4_1 KeyFig" xfId="4117" xr:uid="{00000000-0005-0000-0000-000053100000}"/>
    <cellStyle name="Normal 2 40" xfId="7919" xr:uid="{BA967C9C-C508-437F-B6AE-EB9679055B1D}"/>
    <cellStyle name="Normal 2 41" xfId="7920" xr:uid="{7EF846F7-BE3B-4B87-AEB9-98B64D55A73C}"/>
    <cellStyle name="Normal 2 42" xfId="7921" xr:uid="{8BB49810-93C3-4BB9-9429-FBEB3207E712}"/>
    <cellStyle name="Normal 2 43" xfId="7922" xr:uid="{113121C0-95FF-4B06-AED8-119F5A26AB6C}"/>
    <cellStyle name="Normal 2 44" xfId="7923" xr:uid="{04184A33-7DCF-4D0F-937F-5C3CB8F50BB5}"/>
    <cellStyle name="Normal 2 45" xfId="7924" xr:uid="{90C74CA2-D91C-416B-AFB0-9190F547CF18}"/>
    <cellStyle name="Normal 2 46" xfId="7925" xr:uid="{81919FED-000E-40FD-AC3F-52FD35475699}"/>
    <cellStyle name="Normal 2 47" xfId="7926" xr:uid="{3CBA3FF6-EA41-43AE-B73C-3314E011ADFE}"/>
    <cellStyle name="Normal 2 48" xfId="7927" xr:uid="{3AB0716A-4F6B-43D6-879E-ABF6327D9E36}"/>
    <cellStyle name="Normal 2 49" xfId="7928" xr:uid="{FAC7FEC5-9AAF-41BB-97D8-5A693F2ED53F}"/>
    <cellStyle name="Normal 2 5" xfId="4118" xr:uid="{00000000-0005-0000-0000-000054100000}"/>
    <cellStyle name="Normal 2 5 10" xfId="4119" xr:uid="{00000000-0005-0000-0000-000055100000}"/>
    <cellStyle name="Normal 2 5 11" xfId="7929" xr:uid="{A5C7A56A-8FD4-45B4-B13F-4613DCDF05A0}"/>
    <cellStyle name="Normal 2 5 12" xfId="7930" xr:uid="{2640A0F3-5452-43F5-BEA3-BED5646E4354}"/>
    <cellStyle name="Normal 2 5 2" xfId="4120" xr:uid="{00000000-0005-0000-0000-000056100000}"/>
    <cellStyle name="Normal 2 5 3" xfId="4121" xr:uid="{00000000-0005-0000-0000-000057100000}"/>
    <cellStyle name="Normal 2 5 4" xfId="4122" xr:uid="{00000000-0005-0000-0000-000058100000}"/>
    <cellStyle name="Normal 2 5 5" xfId="4123" xr:uid="{00000000-0005-0000-0000-000059100000}"/>
    <cellStyle name="Normal 2 5 6" xfId="4124" xr:uid="{00000000-0005-0000-0000-00005A100000}"/>
    <cellStyle name="Normal 2 5 7" xfId="4125" xr:uid="{00000000-0005-0000-0000-00005B100000}"/>
    <cellStyle name="Normal 2 5 8" xfId="4126" xr:uid="{00000000-0005-0000-0000-00005C100000}"/>
    <cellStyle name="Normal 2 5 9" xfId="4127" xr:uid="{00000000-0005-0000-0000-00005D100000}"/>
    <cellStyle name="Normal 2 5_1 KeyFig" xfId="4128" xr:uid="{00000000-0005-0000-0000-00005E100000}"/>
    <cellStyle name="Normal 2 50" xfId="7931" xr:uid="{C89C8BC6-C35A-47C3-BFC5-09F6FBF0C77B}"/>
    <cellStyle name="Normal 2 51" xfId="7932" xr:uid="{9BAFFE57-EB87-4B1C-99C0-0EC101882FAD}"/>
    <cellStyle name="Normal 2 52" xfId="7933" xr:uid="{6EB53EAA-CCF8-4CE6-AAED-EF46A6AC1336}"/>
    <cellStyle name="Normal 2 53" xfId="7934" xr:uid="{CEBBDF05-4B4C-4775-BF1B-46D990CD41DD}"/>
    <cellStyle name="Normal 2 54" xfId="7935" xr:uid="{9CA6E773-1641-4441-ADBB-88CEF20C69C4}"/>
    <cellStyle name="Normal 2 55" xfId="7936" xr:uid="{8B74D217-0576-4F95-9D8C-D8FCE1775FB1}"/>
    <cellStyle name="Normal 2 56" xfId="7937" xr:uid="{1ED8801D-14CE-44E3-BD96-40F27DFCA501}"/>
    <cellStyle name="Normal 2 57" xfId="7938" xr:uid="{41EB0DC1-9F87-49D0-A8A3-CDC67D8DE91C}"/>
    <cellStyle name="Normal 2 58" xfId="7939" xr:uid="{E5C77BFA-CA0C-4AA8-B8EF-FC7BA8EA636C}"/>
    <cellStyle name="Normal 2 59" xfId="7940" xr:uid="{A69B5142-93DB-4632-B9FB-DB946C1EEA69}"/>
    <cellStyle name="Normal 2 6" xfId="4129" xr:uid="{00000000-0005-0000-0000-00005F100000}"/>
    <cellStyle name="Normal 2 6 2" xfId="4130" xr:uid="{00000000-0005-0000-0000-000060100000}"/>
    <cellStyle name="Normal 2 6 3" xfId="4131" xr:uid="{00000000-0005-0000-0000-000061100000}"/>
    <cellStyle name="Normal 2 6 4" xfId="4132" xr:uid="{00000000-0005-0000-0000-000062100000}"/>
    <cellStyle name="Normal 2 6 5" xfId="4133" xr:uid="{00000000-0005-0000-0000-000063100000}"/>
    <cellStyle name="Normal 2 6 6" xfId="4134" xr:uid="{00000000-0005-0000-0000-000064100000}"/>
    <cellStyle name="Normal 2 6 7" xfId="4135" xr:uid="{00000000-0005-0000-0000-000065100000}"/>
    <cellStyle name="Normal 2 6 8" xfId="4136" xr:uid="{00000000-0005-0000-0000-000066100000}"/>
    <cellStyle name="Normal 2 6_1 KeyFig" xfId="4137" xr:uid="{00000000-0005-0000-0000-000067100000}"/>
    <cellStyle name="Normal 2 60" xfId="7941" xr:uid="{B403D4B6-A236-45DE-B8E5-2881660010F0}"/>
    <cellStyle name="Normal 2 61" xfId="7942" xr:uid="{2F4BD84A-7B92-493E-9C42-CC9DCF2C81CA}"/>
    <cellStyle name="Normal 2 62" xfId="7943" xr:uid="{5D782F55-09E9-4ADD-B6FB-770C2F4B5D7A}"/>
    <cellStyle name="Normal 2 63" xfId="7944" xr:uid="{1AE7A091-327E-425F-B160-6574B6E5E767}"/>
    <cellStyle name="Normal 2 64" xfId="7945" xr:uid="{FC57E268-CF4F-40E3-B6C9-FCF52691A857}"/>
    <cellStyle name="Normal 2 65" xfId="7946" xr:uid="{64F67548-56B8-4948-9FBC-8583EEC0F86F}"/>
    <cellStyle name="Normal 2 66" xfId="7947" xr:uid="{87FC443D-8E35-4367-80FB-5114C2FBBDB7}"/>
    <cellStyle name="Normal 2 67" xfId="7948" xr:uid="{5E5D8A5F-04ED-4F0C-93D7-5DA054D4D484}"/>
    <cellStyle name="Normal 2 68" xfId="7949" xr:uid="{3DD19079-DFC6-456C-A767-5A65BE0F7CFD}"/>
    <cellStyle name="Normal 2 69" xfId="7950" xr:uid="{45F910C1-7035-49F4-B9F2-C84F4E11482E}"/>
    <cellStyle name="Normal 2 7" xfId="4138" xr:uid="{00000000-0005-0000-0000-000068100000}"/>
    <cellStyle name="Normal 2 7 2" xfId="4139" xr:uid="{00000000-0005-0000-0000-000069100000}"/>
    <cellStyle name="Normal 2 7 3" xfId="4140" xr:uid="{00000000-0005-0000-0000-00006A100000}"/>
    <cellStyle name="Normal 2 7 4" xfId="4141" xr:uid="{00000000-0005-0000-0000-00006B100000}"/>
    <cellStyle name="Normal 2 7 5" xfId="4142" xr:uid="{00000000-0005-0000-0000-00006C100000}"/>
    <cellStyle name="Normal 2 7 6" xfId="4143" xr:uid="{00000000-0005-0000-0000-00006D100000}"/>
    <cellStyle name="Normal 2 7_1 KeyFig" xfId="4144" xr:uid="{00000000-0005-0000-0000-00006E100000}"/>
    <cellStyle name="Normal 2 70" xfId="7951" xr:uid="{508FEC69-E7B3-40DE-AE20-16E6D7DF8DAA}"/>
    <cellStyle name="Normal 2 71" xfId="7952" xr:uid="{0FE7D1EA-2C09-4027-9B98-2D26DB3AACE5}"/>
    <cellStyle name="Normal 2 72" xfId="7953" xr:uid="{A8D0D821-D0C1-4A61-AC59-D04B4E8A4823}"/>
    <cellStyle name="Normal 2 73" xfId="7954" xr:uid="{98469A75-CA27-41AA-A665-E1243E05E393}"/>
    <cellStyle name="Normal 2 74" xfId="7955" xr:uid="{A33B4A84-0C8D-4AB0-B1E0-531928E81166}"/>
    <cellStyle name="Normal 2 75" xfId="7956" xr:uid="{7994552F-A84D-4EDC-933C-F49DAA05D5E8}"/>
    <cellStyle name="Normal 2 76" xfId="7957" xr:uid="{595D0CFD-47A5-4407-B220-8BD3BB8BC38B}"/>
    <cellStyle name="Normal 2 77" xfId="7958" xr:uid="{30509569-E3E3-40A5-BF8B-EAA96601AEC4}"/>
    <cellStyle name="Normal 2 78" xfId="7959" xr:uid="{C5E83578-2DA2-4C1A-8C12-15E5441BEC66}"/>
    <cellStyle name="Normal 2 79" xfId="7960" xr:uid="{9DEF13D1-F3F0-4FB0-86BB-3EFBEA95223D}"/>
    <cellStyle name="Normal 2 8" xfId="4145" xr:uid="{00000000-0005-0000-0000-00006F100000}"/>
    <cellStyle name="Normal 2 80" xfId="7961" xr:uid="{D54C49F6-7735-45C3-A215-74E7BCABC054}"/>
    <cellStyle name="Normal 2 81" xfId="7962" xr:uid="{9B987A3C-5978-4EB9-8AAA-FB9C238067C9}"/>
    <cellStyle name="Normal 2 82" xfId="7963" xr:uid="{5DE13356-0D6B-491E-9879-E422D15B2013}"/>
    <cellStyle name="Normal 2 83" xfId="7964" xr:uid="{9EF8A8D5-A547-455E-ABFC-AC564B79DA94}"/>
    <cellStyle name="Normal 2 84" xfId="7965" xr:uid="{48878066-0E51-4670-9EE0-3609DC96076C}"/>
    <cellStyle name="Normal 2 85" xfId="7966" xr:uid="{33C772C6-8A7D-4449-80D7-8118BB050DD8}"/>
    <cellStyle name="Normal 2 86" xfId="7967" xr:uid="{D2E63385-5A88-4D8B-A61A-724724A84153}"/>
    <cellStyle name="Normal 2 87" xfId="7968" xr:uid="{B92D63CC-3002-45E1-92A1-F0106E2CD3FB}"/>
    <cellStyle name="Normal 2 88" xfId="7969" xr:uid="{1B45574D-097C-4E62-828B-4F626705DDE5}"/>
    <cellStyle name="Normal 2 89" xfId="7970" xr:uid="{14578F9D-2376-47FC-9965-EFDCF03BD2D6}"/>
    <cellStyle name="Normal 2 9" xfId="4146" xr:uid="{00000000-0005-0000-0000-000070100000}"/>
    <cellStyle name="Normal 2 90" xfId="7971" xr:uid="{6EE9C3EE-7AEE-4A9D-9E66-3E8E159C06D7}"/>
    <cellStyle name="Normal 2 91" xfId="7972" xr:uid="{35D320F8-D3DD-47F8-AE6B-8077B84E6C24}"/>
    <cellStyle name="Normal 2 92" xfId="7973" xr:uid="{D5B080A3-05ED-43BE-91C4-CFC4581FA312}"/>
    <cellStyle name="Normal 2 93" xfId="7974" xr:uid="{A1AC0C2E-A406-41EE-96CB-CA27329DB6C2}"/>
    <cellStyle name="Normal 2 94" xfId="7975" xr:uid="{0FE97AA0-0284-4E78-975F-5F5E553F06EA}"/>
    <cellStyle name="Normal 2 95" xfId="7976" xr:uid="{EB38CFF3-C09A-475E-8612-897741D53DBC}"/>
    <cellStyle name="Normal 2 96" xfId="7977" xr:uid="{B080C9C0-A00C-4B58-B5A8-AA6CDA4D5F96}"/>
    <cellStyle name="Normal 2 97" xfId="7978" xr:uid="{9E236A31-C60D-468E-989E-BBD8820FD977}"/>
    <cellStyle name="Normal 2 98" xfId="7979" xr:uid="{4E4469E6-95CA-492B-BF65-A115A72BB3B9}"/>
    <cellStyle name="Normal 2 99" xfId="7980" xr:uid="{528B8F1E-9B62-40E9-BF13-F8051162FA16}"/>
    <cellStyle name="Normal 2_1 KeyFig" xfId="4147" xr:uid="{00000000-0005-0000-0000-000071100000}"/>
    <cellStyle name="Normal 20" xfId="327" xr:uid="{00000000-0005-0000-0000-000072100000}"/>
    <cellStyle name="Normal 20 10" xfId="7981" xr:uid="{F6333029-7C53-4F34-A9A0-785FCF483045}"/>
    <cellStyle name="Normal 20 11" xfId="7982" xr:uid="{C1FE1C69-7B78-4B4B-875F-FF2B744F5B48}"/>
    <cellStyle name="Normal 20 12" xfId="7983" xr:uid="{6548DC27-3515-4CB3-B540-F84094518B54}"/>
    <cellStyle name="Normal 20 13" xfId="7984" xr:uid="{6E20BC8A-EF61-4ADA-A315-C25613635571}"/>
    <cellStyle name="Normal 20 14" xfId="7985" xr:uid="{D2564CAE-646C-41C4-9E0F-341A25F521D5}"/>
    <cellStyle name="Normal 20 15" xfId="7986" xr:uid="{5EE8A546-4AEE-43A4-962A-2F1215EC5F73}"/>
    <cellStyle name="Normal 20 2" xfId="4148" xr:uid="{00000000-0005-0000-0000-000073100000}"/>
    <cellStyle name="Normal 20 3" xfId="4149" xr:uid="{00000000-0005-0000-0000-000074100000}"/>
    <cellStyle name="Normal 20 4" xfId="4150" xr:uid="{00000000-0005-0000-0000-000075100000}"/>
    <cellStyle name="Normal 20 5" xfId="4151" xr:uid="{00000000-0005-0000-0000-000076100000}"/>
    <cellStyle name="Normal 20 6" xfId="7987" xr:uid="{4AC258B0-DCF4-4F17-AA82-8EF23782A6EE}"/>
    <cellStyle name="Normal 20 7" xfId="7988" xr:uid="{B40797C5-C1BA-4271-8A4E-FC1B1A937AB7}"/>
    <cellStyle name="Normal 20 8" xfId="7989" xr:uid="{29412DC6-EA97-437C-92F1-CA3CAD7A2D35}"/>
    <cellStyle name="Normal 20 9" xfId="7990" xr:uid="{02FFE2B3-AA43-42EB-85FF-0367AADF5771}"/>
    <cellStyle name="Normal 20_1 KeyFig" xfId="4152" xr:uid="{00000000-0005-0000-0000-000077100000}"/>
    <cellStyle name="Normal 21" xfId="328" xr:uid="{00000000-0005-0000-0000-000078100000}"/>
    <cellStyle name="Normal 21 2" xfId="7991" xr:uid="{7B8B4ACC-FC82-4256-88E9-9E3D0F9D7A71}"/>
    <cellStyle name="Normal 21_Acq input" xfId="7992" xr:uid="{C126E03F-53FC-4430-BC02-244A5D159587}"/>
    <cellStyle name="Normal 22" xfId="329" xr:uid="{00000000-0005-0000-0000-000079100000}"/>
    <cellStyle name="Normal 22 2" xfId="4153" xr:uid="{00000000-0005-0000-0000-00007A100000}"/>
    <cellStyle name="Normal 22 3" xfId="4154" xr:uid="{00000000-0005-0000-0000-00007B100000}"/>
    <cellStyle name="Normal 22 4" xfId="4155" xr:uid="{00000000-0005-0000-0000-00007C100000}"/>
    <cellStyle name="Normal 22 5" xfId="4156" xr:uid="{00000000-0005-0000-0000-00007D100000}"/>
    <cellStyle name="Normal 22_1 KeyFig" xfId="4157" xr:uid="{00000000-0005-0000-0000-00007E100000}"/>
    <cellStyle name="Normal 23" xfId="330" xr:uid="{00000000-0005-0000-0000-00007F100000}"/>
    <cellStyle name="Normal 23 2" xfId="7993" xr:uid="{C6E2222B-B345-4E76-A47A-97DC33621EE1}"/>
    <cellStyle name="Normal 23_Acq input" xfId="7994" xr:uid="{9CC5E4A2-9853-4D9B-9AB4-C6A2AEE0DE1D}"/>
    <cellStyle name="Normal 24" xfId="331" xr:uid="{00000000-0005-0000-0000-000080100000}"/>
    <cellStyle name="Normal 24 2" xfId="4158" xr:uid="{00000000-0005-0000-0000-000081100000}"/>
    <cellStyle name="Normal 24 3" xfId="4159" xr:uid="{00000000-0005-0000-0000-000082100000}"/>
    <cellStyle name="Normal 24 4" xfId="4160" xr:uid="{00000000-0005-0000-0000-000083100000}"/>
    <cellStyle name="Normal 24 5" xfId="4161" xr:uid="{00000000-0005-0000-0000-000084100000}"/>
    <cellStyle name="Normal 24_1 KeyFig" xfId="4162" xr:uid="{00000000-0005-0000-0000-000085100000}"/>
    <cellStyle name="Normal 25" xfId="332" xr:uid="{00000000-0005-0000-0000-000086100000}"/>
    <cellStyle name="Normal 25 2" xfId="7995" xr:uid="{E58D7A13-37F3-4ABD-BB40-575975C20395}"/>
    <cellStyle name="Normal 25_Acq input" xfId="7996" xr:uid="{0CB904E8-AEFC-4FCD-8415-EE2A9784B6F7}"/>
    <cellStyle name="Normal 26" xfId="333" xr:uid="{00000000-0005-0000-0000-000087100000}"/>
    <cellStyle name="Normal 26 2" xfId="7997" xr:uid="{AD419A45-F601-4E11-97A1-539DF85666E8}"/>
    <cellStyle name="Normal 26_Acq input" xfId="7998" xr:uid="{87C9BD86-7E51-47BD-8682-BACE619225E7}"/>
    <cellStyle name="Normal 27" xfId="334" xr:uid="{00000000-0005-0000-0000-000088100000}"/>
    <cellStyle name="Normal 27 10" xfId="7999" xr:uid="{848A9782-8084-4AC4-88BC-A20D04766AD6}"/>
    <cellStyle name="Normal 27 11" xfId="8000" xr:uid="{B0E2BED7-1929-4AE0-BAA6-17D6CD6A3415}"/>
    <cellStyle name="Normal 27 12" xfId="8001" xr:uid="{67F9ABA5-4B5C-4969-95F9-3DBF788C2838}"/>
    <cellStyle name="Normal 27 13" xfId="8002" xr:uid="{CFBFC323-7484-4740-A6FF-3A9017ED1641}"/>
    <cellStyle name="Normal 27 14" xfId="8003" xr:uid="{DE174BAA-5628-4CFB-93F1-897F7201B6A2}"/>
    <cellStyle name="Normal 27 15" xfId="8004" xr:uid="{4160BF30-196A-4C6E-B04A-3C87A80BDE79}"/>
    <cellStyle name="Normal 27 16" xfId="8005" xr:uid="{86C342B9-A714-46B2-B925-A42B6626CD21}"/>
    <cellStyle name="Normal 27 17" xfId="8006" xr:uid="{B1703831-1C21-4C88-B505-A1AD4B510A94}"/>
    <cellStyle name="Normal 27 18" xfId="8007" xr:uid="{B9904B1E-AEDF-4498-96B8-71840A634A53}"/>
    <cellStyle name="Normal 27 19" xfId="8008" xr:uid="{E79D7036-3F4D-4709-811F-9B9C64CDDC4F}"/>
    <cellStyle name="Normal 27 2" xfId="8009" xr:uid="{480E9FF1-4FBE-4D57-832C-6D2BF7CE4A89}"/>
    <cellStyle name="Normal 27 20" xfId="8010" xr:uid="{3220410A-9A2E-4B17-939D-F24800B4CEAB}"/>
    <cellStyle name="Normal 27 21" xfId="8011" xr:uid="{45CD9BDC-24FC-4D3A-8583-ABF2E6D34BA2}"/>
    <cellStyle name="Normal 27 22" xfId="8012" xr:uid="{994E3598-856E-4FF6-AB09-91B7DC734FA6}"/>
    <cellStyle name="Normal 27 23" xfId="8013" xr:uid="{3F618A1F-4A50-40E8-A22A-F81944DD0DF5}"/>
    <cellStyle name="Normal 27 24" xfId="8014" xr:uid="{BEBB9F06-887F-4641-AA9E-8F7A65EE2A0D}"/>
    <cellStyle name="Normal 27 25" xfId="8015" xr:uid="{6AE6710D-E328-4460-88A2-6D4A03C35E68}"/>
    <cellStyle name="Normal 27 26" xfId="8016" xr:uid="{79F6DC5A-1EEA-438C-8059-EDD034B8286B}"/>
    <cellStyle name="Normal 27 3" xfId="8017" xr:uid="{D93136DD-6FA6-4EAD-A70D-5FA448144AF1}"/>
    <cellStyle name="Normal 27 4" xfId="8018" xr:uid="{B438A4FF-F3A2-4C4B-A1B3-C3089F9BDE8B}"/>
    <cellStyle name="Normal 27 5" xfId="8019" xr:uid="{B638C5C2-0BFC-495E-83A5-925205119AF6}"/>
    <cellStyle name="Normal 27 6" xfId="8020" xr:uid="{C728C2B0-2A9A-4C4C-9415-09D5EFB08DE7}"/>
    <cellStyle name="Normal 27 7" xfId="8021" xr:uid="{092BE3C2-ACFD-402D-9E92-037CAE976065}"/>
    <cellStyle name="Normal 27 8" xfId="8022" xr:uid="{3907CA36-BC35-4646-B9C7-D20AA6483A1F}"/>
    <cellStyle name="Normal 27 9" xfId="8023" xr:uid="{F401D53E-156A-4520-BB3C-FDCADB5EB344}"/>
    <cellStyle name="Normal 27_Acq input" xfId="8024" xr:uid="{B961CEBE-FC38-4245-8E78-48624FAEA482}"/>
    <cellStyle name="Normal 28" xfId="335" xr:uid="{00000000-0005-0000-0000-000089100000}"/>
    <cellStyle name="Normal 28 2" xfId="8025" xr:uid="{B817087C-D191-416F-9CC2-5C28082B4D69}"/>
    <cellStyle name="Normal 28_Acq input" xfId="8026" xr:uid="{3EEB24EE-AE1D-4021-99A0-3F2BEB4F615A}"/>
    <cellStyle name="Normal 29" xfId="336" xr:uid="{00000000-0005-0000-0000-00008A100000}"/>
    <cellStyle name="Normal 29 10" xfId="8027" xr:uid="{C87C2C08-0B7E-423D-BB7A-CDA391B9EEDD}"/>
    <cellStyle name="Normal 29 11" xfId="8028" xr:uid="{931810E7-FE00-480D-92AF-CB9B07836A1D}"/>
    <cellStyle name="Normal 29 12" xfId="8029" xr:uid="{23AA8E68-D4A1-4FBC-96B8-1452D141C8A0}"/>
    <cellStyle name="Normal 29 13" xfId="8030" xr:uid="{04D4E1ED-D22C-4D8D-B7DC-06307618B11C}"/>
    <cellStyle name="Normal 29 14" xfId="8031" xr:uid="{BB14BE6B-0D24-4DCD-9AEB-6152F4FAD2FD}"/>
    <cellStyle name="Normal 29 15" xfId="8032" xr:uid="{0F8CD988-3C09-4CDE-A5A0-8F125B5C239D}"/>
    <cellStyle name="Normal 29 16" xfId="8033" xr:uid="{EA2B8006-7AEA-4D0A-8715-6CB837799630}"/>
    <cellStyle name="Normal 29 17" xfId="8034" xr:uid="{40DC9EC2-A3F5-481E-AAF2-042C2591F6D5}"/>
    <cellStyle name="Normal 29 18" xfId="8035" xr:uid="{A476C306-9D45-4D0C-88A6-E3014FA32C97}"/>
    <cellStyle name="Normal 29 19" xfId="8036" xr:uid="{B4A08BFC-6BEF-4485-B0FE-FA196F798937}"/>
    <cellStyle name="Normal 29 2" xfId="8037" xr:uid="{878976D9-12CC-43CD-B972-7962FCF15021}"/>
    <cellStyle name="Normal 29 20" xfId="8038" xr:uid="{B2E041B5-5252-4894-B2EF-A8325BEDB769}"/>
    <cellStyle name="Normal 29 21" xfId="8039" xr:uid="{71F6B2D9-4FD7-49AF-B3A4-24CFC94D62BC}"/>
    <cellStyle name="Normal 29 22" xfId="8040" xr:uid="{D519AF0F-B54C-4498-A0E3-CE829CE8BB26}"/>
    <cellStyle name="Normal 29 23" xfId="8041" xr:uid="{93D6163F-F9EE-41D2-A55F-ABE28B8F26B1}"/>
    <cellStyle name="Normal 29 24" xfId="8042" xr:uid="{57EE9528-AC8E-4860-A773-2D2FDB609705}"/>
    <cellStyle name="Normal 29 25" xfId="8043" xr:uid="{DBAAAEEB-A308-4901-940D-751E0DD002CD}"/>
    <cellStyle name="Normal 29 26" xfId="8044" xr:uid="{8E102445-BDA3-4B41-AEE3-CBC5FD2BEB9D}"/>
    <cellStyle name="Normal 29 3" xfId="8045" xr:uid="{AAB7A897-7B8D-4070-AFFD-CAC8B37EDBEE}"/>
    <cellStyle name="Normal 29 4" xfId="8046" xr:uid="{B42F07B5-1639-4F85-8138-16504B8359E7}"/>
    <cellStyle name="Normal 29 5" xfId="8047" xr:uid="{40E3A658-EC39-47D7-8D09-7F535D9D66BC}"/>
    <cellStyle name="Normal 29 6" xfId="8048" xr:uid="{156329DD-6D9F-496F-924A-19AA6D032DED}"/>
    <cellStyle name="Normal 29 7" xfId="8049" xr:uid="{E18F8EAA-2089-4380-96BA-3E7B126DFA64}"/>
    <cellStyle name="Normal 29 8" xfId="8050" xr:uid="{4F685F0C-D82E-4658-88EA-3DA041CB5497}"/>
    <cellStyle name="Normal 29 9" xfId="8051" xr:uid="{048EADFF-9E4B-4BE6-8C99-63134773741F}"/>
    <cellStyle name="Normal 29_Acq input" xfId="8052" xr:uid="{310D1335-4F46-447D-AD5F-A2839AA09943}"/>
    <cellStyle name="Normal 3" xfId="3" xr:uid="{00000000-0005-0000-0000-00008B100000}"/>
    <cellStyle name="Normal 3 10" xfId="4163" xr:uid="{00000000-0005-0000-0000-00008C100000}"/>
    <cellStyle name="Normal 3 11" xfId="4164" xr:uid="{00000000-0005-0000-0000-00008D100000}"/>
    <cellStyle name="Normal 3 12" xfId="4165" xr:uid="{00000000-0005-0000-0000-00008E100000}"/>
    <cellStyle name="Normal 3 13" xfId="4166" xr:uid="{00000000-0005-0000-0000-00008F100000}"/>
    <cellStyle name="Normal 3 14" xfId="8053" xr:uid="{5CDEF22A-9AB1-41DE-88F9-6212C256ECF2}"/>
    <cellStyle name="Normal 3 15" xfId="8054" xr:uid="{295B5C63-EC50-4AEF-AD81-9D19844AC350}"/>
    <cellStyle name="Normal 3 16" xfId="8055" xr:uid="{C62F53A4-FE36-415F-BF21-9CF87664FEC2}"/>
    <cellStyle name="Normal 3 17" xfId="8056" xr:uid="{AEBFC24A-E904-4AD1-88A9-06A6A5696781}"/>
    <cellStyle name="Normal 3 18" xfId="8057" xr:uid="{200C7CB8-315C-4E70-ABE4-E85C05F8E157}"/>
    <cellStyle name="Normal 3 19" xfId="8058" xr:uid="{FEB8F446-9F27-49CC-9EEA-444CF7946A7D}"/>
    <cellStyle name="Normal 3 2" xfId="337" xr:uid="{00000000-0005-0000-0000-000090100000}"/>
    <cellStyle name="Normal 3 2 2" xfId="338" xr:uid="{00000000-0005-0000-0000-000091100000}"/>
    <cellStyle name="Normal 3 2 2 2" xfId="4167" xr:uid="{00000000-0005-0000-0000-000092100000}"/>
    <cellStyle name="Normal 3 2 2 3" xfId="4168" xr:uid="{00000000-0005-0000-0000-000093100000}"/>
    <cellStyle name="Normal 3 2 2_1 KeyFig" xfId="4169" xr:uid="{00000000-0005-0000-0000-000094100000}"/>
    <cellStyle name="Normal 3 2 3" xfId="4170" xr:uid="{00000000-0005-0000-0000-000095100000}"/>
    <cellStyle name="Normal 3 2 3 2" xfId="4171" xr:uid="{00000000-0005-0000-0000-000096100000}"/>
    <cellStyle name="Normal 3 2 3 2 2" xfId="4172" xr:uid="{00000000-0005-0000-0000-000097100000}"/>
    <cellStyle name="Normal 3 2 3 2 3" xfId="4173" xr:uid="{00000000-0005-0000-0000-000098100000}"/>
    <cellStyle name="Normal 3 2 3 2_1 KeyFig" xfId="4174" xr:uid="{00000000-0005-0000-0000-000099100000}"/>
    <cellStyle name="Normal 3 2 3 3" xfId="4175" xr:uid="{00000000-0005-0000-0000-00009A100000}"/>
    <cellStyle name="Normal 3 2 3 3 2" xfId="4176" xr:uid="{00000000-0005-0000-0000-00009B100000}"/>
    <cellStyle name="Normal 3 2 3 3 3" xfId="4177" xr:uid="{00000000-0005-0000-0000-00009C100000}"/>
    <cellStyle name="Normal 3 2 3 3_1 KeyFig" xfId="4178" xr:uid="{00000000-0005-0000-0000-00009D100000}"/>
    <cellStyle name="Normal 3 2 3 4" xfId="4179" xr:uid="{00000000-0005-0000-0000-00009E100000}"/>
    <cellStyle name="Normal 3 2 3 5" xfId="4180" xr:uid="{00000000-0005-0000-0000-00009F100000}"/>
    <cellStyle name="Normal 3 2 3 5 2" xfId="4181" xr:uid="{00000000-0005-0000-0000-0000A0100000}"/>
    <cellStyle name="Normal 3 2 3 5_Adjusted bridges" xfId="11110" xr:uid="{EC836850-9AD0-4057-AA7C-D629A9D6A0AF}"/>
    <cellStyle name="Normal 3 2 3_1 KeyFig" xfId="4182" xr:uid="{00000000-0005-0000-0000-0000A2100000}"/>
    <cellStyle name="Normal 3 2 4" xfId="4183" xr:uid="{00000000-0005-0000-0000-0000A3100000}"/>
    <cellStyle name="Normal 3 2 5" xfId="4184" xr:uid="{00000000-0005-0000-0000-0000A4100000}"/>
    <cellStyle name="Normal 3 2 6" xfId="4185" xr:uid="{00000000-0005-0000-0000-0000A5100000}"/>
    <cellStyle name="Normal 3 2 7" xfId="4186" xr:uid="{00000000-0005-0000-0000-0000A6100000}"/>
    <cellStyle name="Normal 3 2_1 KeyFig" xfId="4187" xr:uid="{00000000-0005-0000-0000-0000A7100000}"/>
    <cellStyle name="Normal 3 20" xfId="8059" xr:uid="{46F035E8-A20F-45FC-836E-A4366ADF0EC9}"/>
    <cellStyle name="Normal 3 21" xfId="8060" xr:uid="{FC801BD2-2FED-4688-B149-5D1880376DCB}"/>
    <cellStyle name="Normal 3 3" xfId="339" xr:uid="{00000000-0005-0000-0000-0000A8100000}"/>
    <cellStyle name="Normal 3 3 2" xfId="4188" xr:uid="{00000000-0005-0000-0000-0000A9100000}"/>
    <cellStyle name="Normal 3 3 3" xfId="4189" xr:uid="{00000000-0005-0000-0000-0000AA100000}"/>
    <cellStyle name="Normal 3 3 3 2" xfId="4190" xr:uid="{00000000-0005-0000-0000-0000AB100000}"/>
    <cellStyle name="Normal 3 3 3 2 2" xfId="4191" xr:uid="{00000000-0005-0000-0000-0000AC100000}"/>
    <cellStyle name="Normal 3 3 3 2 3" xfId="4192" xr:uid="{00000000-0005-0000-0000-0000AD100000}"/>
    <cellStyle name="Normal 3 3 3 2_Adjusted bridges" xfId="11111" xr:uid="{34CF911F-0B75-48FE-9F40-47FC376DA425}"/>
    <cellStyle name="Normal 3 3 3 3" xfId="4193" xr:uid="{00000000-0005-0000-0000-0000AF100000}"/>
    <cellStyle name="Normal 3 3 3 3 2" xfId="4194" xr:uid="{00000000-0005-0000-0000-0000B0100000}"/>
    <cellStyle name="Normal 3 3 3 3 3" xfId="4195" xr:uid="{00000000-0005-0000-0000-0000B1100000}"/>
    <cellStyle name="Normal 3 3 3 3_Adjusted bridges" xfId="11112" xr:uid="{8A1F4F45-2961-4D22-AB2E-7A6A93C0AF35}"/>
    <cellStyle name="Normal 3 3 3 4" xfId="4196" xr:uid="{00000000-0005-0000-0000-0000B3100000}"/>
    <cellStyle name="Normal 3 3 3 5" xfId="4197" xr:uid="{00000000-0005-0000-0000-0000B4100000}"/>
    <cellStyle name="Normal 3 3 3_1 KeyFig" xfId="4198" xr:uid="{00000000-0005-0000-0000-0000B5100000}"/>
    <cellStyle name="Normal 3 3 4" xfId="4199" xr:uid="{00000000-0005-0000-0000-0000B6100000}"/>
    <cellStyle name="Normal 3 3 4 2" xfId="4200" xr:uid="{00000000-0005-0000-0000-0000B7100000}"/>
    <cellStyle name="Normal 3 3 4 3" xfId="4201" xr:uid="{00000000-0005-0000-0000-0000B8100000}"/>
    <cellStyle name="Normal 3 3 4_1 KeyFig" xfId="4202" xr:uid="{00000000-0005-0000-0000-0000B9100000}"/>
    <cellStyle name="Normal 3 3 5" xfId="4203" xr:uid="{00000000-0005-0000-0000-0000BA100000}"/>
    <cellStyle name="Normal 3 3 5 2" xfId="4204" xr:uid="{00000000-0005-0000-0000-0000BB100000}"/>
    <cellStyle name="Normal 3 3 5 3" xfId="4205" xr:uid="{00000000-0005-0000-0000-0000BC100000}"/>
    <cellStyle name="Normal 3 3 5_1 KeyFig" xfId="4206" xr:uid="{00000000-0005-0000-0000-0000BD100000}"/>
    <cellStyle name="Normal 3 3 6" xfId="4207" xr:uid="{00000000-0005-0000-0000-0000BE100000}"/>
    <cellStyle name="Normal 3 3 7" xfId="4208" xr:uid="{00000000-0005-0000-0000-0000BF100000}"/>
    <cellStyle name="Normal 3 3 8" xfId="4209" xr:uid="{00000000-0005-0000-0000-0000C0100000}"/>
    <cellStyle name="Normal 3 3_1 KeyFig" xfId="4210" xr:uid="{00000000-0005-0000-0000-0000C1100000}"/>
    <cellStyle name="Normal 3 4" xfId="4211" xr:uid="{00000000-0005-0000-0000-0000C2100000}"/>
    <cellStyle name="Normal 3 4 2" xfId="4212" xr:uid="{00000000-0005-0000-0000-0000C3100000}"/>
    <cellStyle name="Normal 3 4 2 2" xfId="4213" xr:uid="{00000000-0005-0000-0000-0000C4100000}"/>
    <cellStyle name="Normal 3 4 2 3" xfId="4214" xr:uid="{00000000-0005-0000-0000-0000C5100000}"/>
    <cellStyle name="Normal 3 4 2 4" xfId="4215" xr:uid="{00000000-0005-0000-0000-0000C6100000}"/>
    <cellStyle name="Normal 3 4 2 5" xfId="4216" xr:uid="{00000000-0005-0000-0000-0000C7100000}"/>
    <cellStyle name="Normal 3 4 2_1 KeyFig" xfId="4217" xr:uid="{00000000-0005-0000-0000-0000C8100000}"/>
    <cellStyle name="Normal 3 4 3" xfId="4218" xr:uid="{00000000-0005-0000-0000-0000C9100000}"/>
    <cellStyle name="Normal 3 4 4" xfId="4219" xr:uid="{00000000-0005-0000-0000-0000CA100000}"/>
    <cellStyle name="Normal 3 4 5" xfId="4220" xr:uid="{00000000-0005-0000-0000-0000CB100000}"/>
    <cellStyle name="Normal 3 4_1 KeyFig" xfId="4221" xr:uid="{00000000-0005-0000-0000-0000CC100000}"/>
    <cellStyle name="Normal 3 5" xfId="4222" xr:uid="{00000000-0005-0000-0000-0000CD100000}"/>
    <cellStyle name="Normal 3 5 2" xfId="4223" xr:uid="{00000000-0005-0000-0000-0000CE100000}"/>
    <cellStyle name="Normal 3 5 3" xfId="4224" xr:uid="{00000000-0005-0000-0000-0000CF100000}"/>
    <cellStyle name="Normal 3 5 4" xfId="4225" xr:uid="{00000000-0005-0000-0000-0000D0100000}"/>
    <cellStyle name="Normal 3 5 5" xfId="4226" xr:uid="{00000000-0005-0000-0000-0000D1100000}"/>
    <cellStyle name="Normal 3 5_1 KeyFig" xfId="4227" xr:uid="{00000000-0005-0000-0000-0000D2100000}"/>
    <cellStyle name="Normal 3 6" xfId="4228" xr:uid="{00000000-0005-0000-0000-0000D3100000}"/>
    <cellStyle name="Normal 3 6 2" xfId="4229" xr:uid="{00000000-0005-0000-0000-0000D4100000}"/>
    <cellStyle name="Normal 3 6 3" xfId="4230" xr:uid="{00000000-0005-0000-0000-0000D5100000}"/>
    <cellStyle name="Normal 3 6 4" xfId="4231" xr:uid="{00000000-0005-0000-0000-0000D6100000}"/>
    <cellStyle name="Normal 3 6_1 KeyFig" xfId="4232" xr:uid="{00000000-0005-0000-0000-0000D7100000}"/>
    <cellStyle name="Normal 3 7" xfId="4233" xr:uid="{00000000-0005-0000-0000-0000D8100000}"/>
    <cellStyle name="Normal 3 7 2" xfId="4234" xr:uid="{00000000-0005-0000-0000-0000D9100000}"/>
    <cellStyle name="Normal 3 7_1 KeyFig" xfId="4235" xr:uid="{00000000-0005-0000-0000-0000DA100000}"/>
    <cellStyle name="Normal 3 8" xfId="4236" xr:uid="{00000000-0005-0000-0000-0000DB100000}"/>
    <cellStyle name="Normal 3 8 2" xfId="4237" xr:uid="{00000000-0005-0000-0000-0000DC100000}"/>
    <cellStyle name="Normal 3 8 2 2" xfId="4238" xr:uid="{00000000-0005-0000-0000-0000DD100000}"/>
    <cellStyle name="Normal 3 8 2 3" xfId="4239" xr:uid="{00000000-0005-0000-0000-0000DE100000}"/>
    <cellStyle name="Normal 3 8 2_Adjusted bridges" xfId="11113" xr:uid="{25BAA068-1439-47CE-A7A6-C26250D48584}"/>
    <cellStyle name="Normal 3 8 3" xfId="4240" xr:uid="{00000000-0005-0000-0000-0000E0100000}"/>
    <cellStyle name="Normal 3 8 3 2" xfId="4241" xr:uid="{00000000-0005-0000-0000-0000E1100000}"/>
    <cellStyle name="Normal 3 8 3 3" xfId="4242" xr:uid="{00000000-0005-0000-0000-0000E2100000}"/>
    <cellStyle name="Normal 3 8 3_Adjusted bridges" xfId="11114" xr:uid="{BA17A3E5-11F0-4971-B9FF-E4A355E07D67}"/>
    <cellStyle name="Normal 3 8 4" xfId="4243" xr:uid="{00000000-0005-0000-0000-0000E4100000}"/>
    <cellStyle name="Normal 3 8 5" xfId="4244" xr:uid="{00000000-0005-0000-0000-0000E5100000}"/>
    <cellStyle name="Normal 3 8 6" xfId="4245" xr:uid="{00000000-0005-0000-0000-0000E6100000}"/>
    <cellStyle name="Normal 3 8_1 KeyFig" xfId="4246" xr:uid="{00000000-0005-0000-0000-0000E7100000}"/>
    <cellStyle name="Normal 3 9" xfId="4247" xr:uid="{00000000-0005-0000-0000-0000E8100000}"/>
    <cellStyle name="Normal 3 9 2" xfId="4248" xr:uid="{00000000-0005-0000-0000-0000E9100000}"/>
    <cellStyle name="Normal 3 9 2 2" xfId="4249" xr:uid="{00000000-0005-0000-0000-0000EA100000}"/>
    <cellStyle name="Normal 3 9 2 3" xfId="4250" xr:uid="{00000000-0005-0000-0000-0000EB100000}"/>
    <cellStyle name="Normal 3 9 2_Adjusted bridges" xfId="11115" xr:uid="{79EF3033-73F9-45CD-8FD1-0610458C29A1}"/>
    <cellStyle name="Normal 3 9 3" xfId="4251" xr:uid="{00000000-0005-0000-0000-0000ED100000}"/>
    <cellStyle name="Normal 3 9 3 2" xfId="4252" xr:uid="{00000000-0005-0000-0000-0000EE100000}"/>
    <cellStyle name="Normal 3 9 3 3" xfId="4253" xr:uid="{00000000-0005-0000-0000-0000EF100000}"/>
    <cellStyle name="Normal 3 9 3_Adjusted bridges" xfId="11116" xr:uid="{80A968D2-529A-44CD-B689-F315AA911267}"/>
    <cellStyle name="Normal 3 9 4" xfId="4254" xr:uid="{00000000-0005-0000-0000-0000F1100000}"/>
    <cellStyle name="Normal 3 9 5" xfId="4255" xr:uid="{00000000-0005-0000-0000-0000F2100000}"/>
    <cellStyle name="Normal 3 9_1 KeyFig" xfId="4256" xr:uid="{00000000-0005-0000-0000-0000F3100000}"/>
    <cellStyle name="Normal 3_1 KeyFig" xfId="4257" xr:uid="{00000000-0005-0000-0000-0000F4100000}"/>
    <cellStyle name="Normal 30" xfId="340" xr:uid="{00000000-0005-0000-0000-0000F5100000}"/>
    <cellStyle name="Normal 30 2" xfId="8061" xr:uid="{A10A99D6-F112-408C-B667-AE78A3E480D3}"/>
    <cellStyle name="Normal 30_Acq input" xfId="8062" xr:uid="{C4F9547F-09C4-458B-8B5D-673421D670B3}"/>
    <cellStyle name="Normal 31" xfId="341" xr:uid="{00000000-0005-0000-0000-0000F6100000}"/>
    <cellStyle name="Normal 31 10" xfId="8063" xr:uid="{A4895F63-87CC-4002-9A80-44CBC0C188E8}"/>
    <cellStyle name="Normal 31 11" xfId="8064" xr:uid="{643DF2D6-A217-48A6-991F-A7CDB45069CC}"/>
    <cellStyle name="Normal 31 12" xfId="8065" xr:uid="{8302BC9D-88CE-4F72-9CBF-3D2D1B130796}"/>
    <cellStyle name="Normal 31 13" xfId="8066" xr:uid="{5AD39CF3-1F2F-4AAB-834A-5E8E1E4D10AC}"/>
    <cellStyle name="Normal 31 14" xfId="8067" xr:uid="{CF278F77-620A-438C-87C0-F1E90CDFC81B}"/>
    <cellStyle name="Normal 31 15" xfId="8068" xr:uid="{B0308E3C-F62A-4119-B359-A7EF5B3D6EC6}"/>
    <cellStyle name="Normal 31 16" xfId="8069" xr:uid="{A786E41F-6888-4092-9028-F30BFBEE77AA}"/>
    <cellStyle name="Normal 31 17" xfId="8070" xr:uid="{110EFD16-6C5D-48B4-B9EC-FAAA57881577}"/>
    <cellStyle name="Normal 31 18" xfId="8071" xr:uid="{801A637D-DCFC-463B-BCC1-A68FDEF8EF8F}"/>
    <cellStyle name="Normal 31 19" xfId="8072" xr:uid="{46A68495-E356-4430-838C-5A1EAEF2E171}"/>
    <cellStyle name="Normal 31 2" xfId="8073" xr:uid="{9A48CB09-8D2D-4A51-932B-999062CCC3FD}"/>
    <cellStyle name="Normal 31 20" xfId="8074" xr:uid="{8B068DE8-7659-45D6-A4C9-3603DCA1A286}"/>
    <cellStyle name="Normal 31 21" xfId="8075" xr:uid="{75734199-24B5-4B6C-9641-D157DB82D737}"/>
    <cellStyle name="Normal 31 22" xfId="8076" xr:uid="{D8DDE5A2-023E-4A31-9342-3A628C874517}"/>
    <cellStyle name="Normal 31 23" xfId="8077" xr:uid="{BE92A9B8-B2F2-4F35-B496-BCFE4441095D}"/>
    <cellStyle name="Normal 31 24" xfId="8078" xr:uid="{C8BEE184-FBDF-4A46-B548-25C2D8CBD43D}"/>
    <cellStyle name="Normal 31 25" xfId="8079" xr:uid="{58B57A9C-9A91-44C3-B8DD-26A290E17A05}"/>
    <cellStyle name="Normal 31 26" xfId="8080" xr:uid="{95605D5B-1584-4436-8CEB-FC3FD2CE7370}"/>
    <cellStyle name="Normal 31 3" xfId="8081" xr:uid="{8A0C3670-C88C-4218-85D9-2C772636BA74}"/>
    <cellStyle name="Normal 31 4" xfId="8082" xr:uid="{40D491BB-970D-4A73-831B-24D637035744}"/>
    <cellStyle name="Normal 31 5" xfId="8083" xr:uid="{7FA29C05-9C59-4480-9269-F6805D5EEE16}"/>
    <cellStyle name="Normal 31 6" xfId="8084" xr:uid="{2C6B6F98-2D78-4346-9DAD-B521321BAE16}"/>
    <cellStyle name="Normal 31 7" xfId="8085" xr:uid="{252AC20A-5756-4448-817A-CDBCC5B25C01}"/>
    <cellStyle name="Normal 31 8" xfId="8086" xr:uid="{8D119906-132C-4D2B-8E3F-134C1AC48A36}"/>
    <cellStyle name="Normal 31 9" xfId="8087" xr:uid="{B14A61FA-857A-4F46-802A-F3E336C991ED}"/>
    <cellStyle name="Normal 31_Acq input" xfId="8088" xr:uid="{21D49CA0-642F-4C2C-A5ED-3A0367DE7097}"/>
    <cellStyle name="Normal 32" xfId="342" xr:uid="{00000000-0005-0000-0000-0000F7100000}"/>
    <cellStyle name="Normal 32 2" xfId="8089" xr:uid="{B373C1D7-35B9-4F3A-9E6A-CF52FF199367}"/>
    <cellStyle name="Normal 32_Acq input" xfId="8090" xr:uid="{DF13A9F1-7FA7-4990-B3B2-804A64FE1F59}"/>
    <cellStyle name="Normal 33" xfId="343" xr:uid="{00000000-0005-0000-0000-0000F8100000}"/>
    <cellStyle name="Normal 33 10" xfId="8091" xr:uid="{C033BA99-E11E-4CAB-AF77-A6EED3B38E66}"/>
    <cellStyle name="Normal 33 11" xfId="8092" xr:uid="{F0E7712C-2064-46EF-8555-6BF8BE3FF34F}"/>
    <cellStyle name="Normal 33 12" xfId="8093" xr:uid="{885C6E9F-36B5-4CFE-87F1-2619ED6DED7C}"/>
    <cellStyle name="Normal 33 13" xfId="8094" xr:uid="{185F518B-12CA-4F64-87EF-2AA6FC44BC36}"/>
    <cellStyle name="Normal 33 14" xfId="8095" xr:uid="{29E48755-5E74-4468-865B-5FD7543C96CA}"/>
    <cellStyle name="Normal 33 15" xfId="8096" xr:uid="{BBFEF205-53C4-4AB7-BF74-59DB5937C793}"/>
    <cellStyle name="Normal 33 16" xfId="8097" xr:uid="{2A92A461-E485-43C9-A581-FC026A2E9001}"/>
    <cellStyle name="Normal 33 17" xfId="8098" xr:uid="{762E0566-002C-4764-9283-5EA1399231D7}"/>
    <cellStyle name="Normal 33 18" xfId="8099" xr:uid="{505BF9D8-924B-4E60-BDCC-875ED79CB9F6}"/>
    <cellStyle name="Normal 33 19" xfId="8100" xr:uid="{88D18839-6927-4323-B849-BC612DCA6F22}"/>
    <cellStyle name="Normal 33 2" xfId="8101" xr:uid="{9127EEB9-4202-447B-AA05-2A5E977D9FD8}"/>
    <cellStyle name="Normal 33 20" xfId="8102" xr:uid="{E5704730-9968-4DE9-A59C-8FD04465D24B}"/>
    <cellStyle name="Normal 33 21" xfId="8103" xr:uid="{1EB38B62-89F1-4E6C-BE3B-9C525FE26F96}"/>
    <cellStyle name="Normal 33 22" xfId="8104" xr:uid="{6811410B-E4A2-4047-AFBD-F68E41AC17D5}"/>
    <cellStyle name="Normal 33 23" xfId="8105" xr:uid="{5418A331-9591-4ACA-912C-22ADFD7A81E5}"/>
    <cellStyle name="Normal 33 24" xfId="8106" xr:uid="{75F2ECA0-CAF3-4926-A2C5-3C2C484DB29C}"/>
    <cellStyle name="Normal 33 25" xfId="8107" xr:uid="{F71AA98E-F276-4EC8-B989-5B098E529C70}"/>
    <cellStyle name="Normal 33 26" xfId="8108" xr:uid="{D5976B3C-A1B8-43E8-ACDB-5BAE9CE78945}"/>
    <cellStyle name="Normal 33 3" xfId="8109" xr:uid="{FA237E77-1CDA-4F08-B28F-FAFEC68C62C1}"/>
    <cellStyle name="Normal 33 4" xfId="8110" xr:uid="{FFB4DC9C-04A2-4F91-BB6E-187F7C22600A}"/>
    <cellStyle name="Normal 33 5" xfId="8111" xr:uid="{47248F73-F72A-4534-ABA1-0C92CFC85848}"/>
    <cellStyle name="Normal 33 6" xfId="8112" xr:uid="{C6BC14B0-D72B-426E-99BE-0740A401DCBC}"/>
    <cellStyle name="Normal 33 7" xfId="8113" xr:uid="{C06EE111-DA2B-4C75-ABF9-4B6180D6E819}"/>
    <cellStyle name="Normal 33 8" xfId="8114" xr:uid="{02C405AE-0F46-4215-9D3B-0E30BBD64F28}"/>
    <cellStyle name="Normal 33 9" xfId="8115" xr:uid="{59024CAF-1B16-4FFC-80FE-2D7D61257925}"/>
    <cellStyle name="Normal 33_Acq input" xfId="8116" xr:uid="{82B5AF2A-58E7-4AC3-A463-9311B0D7AF2C}"/>
    <cellStyle name="Normal 34" xfId="344" xr:uid="{00000000-0005-0000-0000-0000F9100000}"/>
    <cellStyle name="Normal 34 2" xfId="8117" xr:uid="{C917D032-118C-4C03-8D92-7116405F42E8}"/>
    <cellStyle name="Normal 34 3" xfId="8118" xr:uid="{5DF3CE07-E74B-4F41-AFE3-238FE748A18B}"/>
    <cellStyle name="Normal 34_Acq input" xfId="8119" xr:uid="{6523C70B-640A-489B-8186-1F04E062B9CE}"/>
    <cellStyle name="Normal 35" xfId="6" xr:uid="{00000000-0005-0000-0000-0000FA100000}"/>
    <cellStyle name="Normal 35 2" xfId="8120" xr:uid="{17F285CD-E137-4A14-9637-452D2033489E}"/>
    <cellStyle name="Normal 35 3" xfId="8121" xr:uid="{E7012359-492A-4D35-BA16-3313A9973BFF}"/>
    <cellStyle name="Normal 35_Acq input" xfId="8122" xr:uid="{7F6A6E9F-E4CD-4CE6-BFC1-955D652E4FF7}"/>
    <cellStyle name="Normal 36" xfId="345" xr:uid="{00000000-0005-0000-0000-0000FB100000}"/>
    <cellStyle name="Normal 36 2" xfId="8123" xr:uid="{CD4BE012-D275-4681-9D12-969F4FDC2F36}"/>
    <cellStyle name="Normal 36 3" xfId="8124" xr:uid="{D63BC302-087A-40B2-B405-3B35AD77D90E}"/>
    <cellStyle name="Normal 36_Acq input" xfId="8125" xr:uid="{3F5A30AB-8948-4329-80C5-1110C4D6BF97}"/>
    <cellStyle name="Normal 37" xfId="346" xr:uid="{00000000-0005-0000-0000-0000FC100000}"/>
    <cellStyle name="Normal 37 10" xfId="8126" xr:uid="{9BC21134-16F8-41C9-9E07-34F4E6AE3BAA}"/>
    <cellStyle name="Normal 37 11" xfId="8127" xr:uid="{F5B24A75-C3CB-4BCC-B6BD-03975EEEDCDB}"/>
    <cellStyle name="Normal 37 12" xfId="8128" xr:uid="{10E152AA-638E-47D8-BBF1-5BCF686BD458}"/>
    <cellStyle name="Normal 37 13" xfId="8129" xr:uid="{8AA935C1-4AE7-463C-8086-5D70FAED22EC}"/>
    <cellStyle name="Normal 37 14" xfId="8130" xr:uid="{55DA4E39-BA18-4A08-972D-5A1F08783D7A}"/>
    <cellStyle name="Normal 37 2" xfId="8131" xr:uid="{BB7C6247-BFD6-4C34-B1DC-8189861F414B}"/>
    <cellStyle name="Normal 37 3" xfId="8132" xr:uid="{2633E234-28F1-46ED-A7C4-4B91CF593BFC}"/>
    <cellStyle name="Normal 37 4" xfId="8133" xr:uid="{1A0772DF-6E54-4FA5-BA59-5AF8BDCC8DAF}"/>
    <cellStyle name="Normal 37 5" xfId="8134" xr:uid="{D03EB4F3-8476-42AD-910A-E41262859933}"/>
    <cellStyle name="Normal 37 6" xfId="8135" xr:uid="{4EB95E33-9AD1-449C-AEC1-61F289BECE44}"/>
    <cellStyle name="Normal 37 7" xfId="8136" xr:uid="{3B4AD49C-72EA-415C-BE98-70B1C1ABE2CD}"/>
    <cellStyle name="Normal 37 8" xfId="8137" xr:uid="{E404D222-04AA-4B43-8F24-88A0691841CD}"/>
    <cellStyle name="Normal 37 9" xfId="8138" xr:uid="{344A9570-EEDB-4854-844F-CF216456A691}"/>
    <cellStyle name="Normal 37_Acq input" xfId="8139" xr:uid="{85A7BDBF-5B28-4BB1-BB53-0BE1AF2CE2E4}"/>
    <cellStyle name="Normal 38" xfId="347" xr:uid="{00000000-0005-0000-0000-0000FD100000}"/>
    <cellStyle name="Normal 38 2" xfId="8140" xr:uid="{0335043A-DC81-4259-BF59-15A4454780CC}"/>
    <cellStyle name="Normal 38_Acq input" xfId="8141" xr:uid="{D55616B9-8364-45C8-A92A-CD5EB09D47B8}"/>
    <cellStyle name="Normal 39" xfId="385" xr:uid="{00000000-0005-0000-0000-0000FE100000}"/>
    <cellStyle name="Normal 39 2" xfId="8142" xr:uid="{B75D3399-9C60-46DE-B9CF-866D393CAFE9}"/>
    <cellStyle name="Normal 39_Acq input" xfId="8143" xr:uid="{B30191EF-98FF-40EE-A1FD-0A296337475A}"/>
    <cellStyle name="Normal 4" xfId="348" xr:uid="{00000000-0005-0000-0000-0000FF100000}"/>
    <cellStyle name="Normal 4 10" xfId="4258" xr:uid="{00000000-0005-0000-0000-000000110000}"/>
    <cellStyle name="Normal 4 11" xfId="4259" xr:uid="{00000000-0005-0000-0000-000001110000}"/>
    <cellStyle name="Normal 4 12" xfId="8144" xr:uid="{16268782-024F-4537-A37C-CEAF19566A6C}"/>
    <cellStyle name="Normal 4 13" xfId="8145" xr:uid="{A8787424-C463-4F98-AE76-26BA591EBE51}"/>
    <cellStyle name="Normal 4 14" xfId="8146" xr:uid="{DA57E597-EA3E-45E8-B1EE-F530BA7CC74C}"/>
    <cellStyle name="Normal 4 15" xfId="8147" xr:uid="{34C9E889-76E7-4143-A70A-11B0D579EFE0}"/>
    <cellStyle name="Normal 4 16" xfId="8148" xr:uid="{D7954798-CD15-4797-B9E0-3E555B8F1D31}"/>
    <cellStyle name="Normal 4 17" xfId="8149" xr:uid="{093563C0-6273-41A9-AE66-AEB210E647E5}"/>
    <cellStyle name="Normal 4 18" xfId="8150" xr:uid="{8BD266BE-68F7-4CCF-8973-20E9E285310C}"/>
    <cellStyle name="Normal 4 19" xfId="8151" xr:uid="{B8173963-C211-4AAA-BF2C-814AE25AF8CF}"/>
    <cellStyle name="Normal 4 2" xfId="349" xr:uid="{00000000-0005-0000-0000-000002110000}"/>
    <cellStyle name="Normal 4 2 10" xfId="8152" xr:uid="{AF845908-1A36-4E77-B950-59D7BEA116A5}"/>
    <cellStyle name="Normal 4 2 11" xfId="8153" xr:uid="{576A2F99-59A5-4B2F-9994-FB45F8AD6C13}"/>
    <cellStyle name="Normal 4 2 12" xfId="8154" xr:uid="{A03EA4C8-D40B-4E70-B84B-951A2F58FD95}"/>
    <cellStyle name="Normal 4 2 13" xfId="8155" xr:uid="{7F7AAE70-1BE3-467E-A507-B78F421A3905}"/>
    <cellStyle name="Normal 4 2 14" xfId="8156" xr:uid="{19AF351B-AA30-4E79-B829-825B2C07B1E6}"/>
    <cellStyle name="Normal 4 2 15" xfId="8157" xr:uid="{4DD726EE-2344-414A-B422-3319171E5729}"/>
    <cellStyle name="Normal 4 2 16" xfId="8158" xr:uid="{7C71F998-F15C-4531-BB5A-4076ADD3DB2A}"/>
    <cellStyle name="Normal 4 2 17" xfId="8159" xr:uid="{4872DF6F-5334-48F4-A80D-657BC1F40B4D}"/>
    <cellStyle name="Normal 4 2 18" xfId="8160" xr:uid="{71779193-DDAB-48DA-8F79-064F683BC507}"/>
    <cellStyle name="Normal 4 2 2" xfId="350" xr:uid="{00000000-0005-0000-0000-000003110000}"/>
    <cellStyle name="Normal 4 2 2 2" xfId="4260" xr:uid="{00000000-0005-0000-0000-000004110000}"/>
    <cellStyle name="Normal 4 2 2 2 2" xfId="4261" xr:uid="{00000000-0005-0000-0000-000005110000}"/>
    <cellStyle name="Normal 4 2 2 2 3" xfId="4262" xr:uid="{00000000-0005-0000-0000-000006110000}"/>
    <cellStyle name="Normal 4 2 2 2 4" xfId="4263" xr:uid="{00000000-0005-0000-0000-000007110000}"/>
    <cellStyle name="Normal 4 2 2 2 5" xfId="4264" xr:uid="{00000000-0005-0000-0000-000008110000}"/>
    <cellStyle name="Normal 4 2 2 2_1 KeyFig" xfId="4265" xr:uid="{00000000-0005-0000-0000-000009110000}"/>
    <cellStyle name="Normal 4 2 2 3" xfId="4266" xr:uid="{00000000-0005-0000-0000-00000A110000}"/>
    <cellStyle name="Normal 4 2 2 4" xfId="4267" xr:uid="{00000000-0005-0000-0000-00000B110000}"/>
    <cellStyle name="Normal 4 2 2 5" xfId="4268" xr:uid="{00000000-0005-0000-0000-00000C110000}"/>
    <cellStyle name="Normal 4 2 2_1 KeyFig" xfId="4269" xr:uid="{00000000-0005-0000-0000-00000D110000}"/>
    <cellStyle name="Normal 4 2 3" xfId="4270" xr:uid="{00000000-0005-0000-0000-00000E110000}"/>
    <cellStyle name="Normal 4 2 3 2" xfId="4271" xr:uid="{00000000-0005-0000-0000-00000F110000}"/>
    <cellStyle name="Normal 4 2 3 2 2" xfId="4272" xr:uid="{00000000-0005-0000-0000-000010110000}"/>
    <cellStyle name="Normal 4 2 3 2_Adjusted bridges" xfId="11117" xr:uid="{5768ADC9-2902-4147-9E3C-339567D94F30}"/>
    <cellStyle name="Normal 4 2 3 3" xfId="4273" xr:uid="{00000000-0005-0000-0000-000012110000}"/>
    <cellStyle name="Normal 4 2 3 4" xfId="4274" xr:uid="{00000000-0005-0000-0000-000013110000}"/>
    <cellStyle name="Normal 4 2 3 5" xfId="4275" xr:uid="{00000000-0005-0000-0000-000014110000}"/>
    <cellStyle name="Normal 4 2 3_1 KeyFig" xfId="4276" xr:uid="{00000000-0005-0000-0000-000015110000}"/>
    <cellStyle name="Normal 4 2 4" xfId="4277" xr:uid="{00000000-0005-0000-0000-000016110000}"/>
    <cellStyle name="Normal 4 2 4 2" xfId="4278" xr:uid="{00000000-0005-0000-0000-000017110000}"/>
    <cellStyle name="Normal 4 2 4_1 KeyFig" xfId="4279" xr:uid="{00000000-0005-0000-0000-000018110000}"/>
    <cellStyle name="Normal 4 2 5" xfId="4280" xr:uid="{00000000-0005-0000-0000-000019110000}"/>
    <cellStyle name="Normal 4 2 5 2" xfId="4281" xr:uid="{00000000-0005-0000-0000-00001A110000}"/>
    <cellStyle name="Normal 4 2 5_1 KeyFig" xfId="4282" xr:uid="{00000000-0005-0000-0000-00001B110000}"/>
    <cellStyle name="Normal 4 2 6" xfId="4283" xr:uid="{00000000-0005-0000-0000-00001C110000}"/>
    <cellStyle name="Normal 4 2 7" xfId="4284" xr:uid="{00000000-0005-0000-0000-00001D110000}"/>
    <cellStyle name="Normal 4 2 8" xfId="8161" xr:uid="{77031A01-35F5-4459-9955-05B4F1CFAC2B}"/>
    <cellStyle name="Normal 4 2 9" xfId="8162" xr:uid="{F80AB852-AAC0-4215-82E2-5C4F5AFAACCC}"/>
    <cellStyle name="Normal 4 2_1 KeyFig" xfId="4285" xr:uid="{00000000-0005-0000-0000-00001E110000}"/>
    <cellStyle name="Normal 4 20" xfId="8163" xr:uid="{1A0693DC-4275-4743-A184-A94BB2B9CB3A}"/>
    <cellStyle name="Normal 4 21" xfId="8164" xr:uid="{2896E527-552A-4699-86CC-B3757C61F400}"/>
    <cellStyle name="Normal 4 22" xfId="8165" xr:uid="{575E471E-54F3-412B-B958-E9246ACABF1B}"/>
    <cellStyle name="Normal 4 23" xfId="8166" xr:uid="{E68B8FCD-CAE7-40AF-87FB-681CFECE2751}"/>
    <cellStyle name="Normal 4 24" xfId="8167" xr:uid="{2D84AB7A-9DAF-4FD2-B80A-9873AB7A0812}"/>
    <cellStyle name="Normal 4 25" xfId="8168" xr:uid="{9C5D18C0-4E01-451B-8FB9-8C95170274B7}"/>
    <cellStyle name="Normal 4 26" xfId="8169" xr:uid="{C4F088D1-B5C2-485B-A162-8968E768A609}"/>
    <cellStyle name="Normal 4 27" xfId="8170" xr:uid="{51F7D97B-FA93-4FE9-86B5-4152017CB51F}"/>
    <cellStyle name="Normal 4 28" xfId="8171" xr:uid="{C7A1FF40-24D9-4A3B-A433-EBEAFF26072A}"/>
    <cellStyle name="Normal 4 29" xfId="8172" xr:uid="{66B224EF-8D16-448C-AE46-A166293168CC}"/>
    <cellStyle name="Normal 4 3" xfId="4286" xr:uid="{00000000-0005-0000-0000-00001F110000}"/>
    <cellStyle name="Normal 4 3 2" xfId="4287" xr:uid="{00000000-0005-0000-0000-000020110000}"/>
    <cellStyle name="Normal 4 3 3" xfId="4288" xr:uid="{00000000-0005-0000-0000-000021110000}"/>
    <cellStyle name="Normal 4 3 4" xfId="4289" xr:uid="{00000000-0005-0000-0000-000022110000}"/>
    <cellStyle name="Normal 4 3 5" xfId="4290" xr:uid="{00000000-0005-0000-0000-000023110000}"/>
    <cellStyle name="Normal 4 3_1 KeyFig" xfId="4291" xr:uid="{00000000-0005-0000-0000-000024110000}"/>
    <cellStyle name="Normal 4 30" xfId="8173" xr:uid="{6534308C-D181-4B7F-B1E8-D161B8777AC1}"/>
    <cellStyle name="Normal 4 31" xfId="8174" xr:uid="{56D5FB40-7E6E-4F3D-AB28-47B763CCE384}"/>
    <cellStyle name="Normal 4 32" xfId="8175" xr:uid="{40022D8D-AB85-455F-8DD7-FC2E91841B9A}"/>
    <cellStyle name="Normal 4 4" xfId="4292" xr:uid="{00000000-0005-0000-0000-000025110000}"/>
    <cellStyle name="Normal 4 4 10" xfId="8176" xr:uid="{CA64C779-B193-4A0E-AFA5-4D519E4FDA7D}"/>
    <cellStyle name="Normal 4 4 11" xfId="8177" xr:uid="{B164438B-E721-4F73-A59A-61A01DE7801B}"/>
    <cellStyle name="Normal 4 4 12" xfId="8178" xr:uid="{D9FCE34F-7FE4-48B1-9153-C3DAA726A2E3}"/>
    <cellStyle name="Normal 4 4 13" xfId="8179" xr:uid="{A8247836-05C4-4A7E-8D99-EB89CB1146EB}"/>
    <cellStyle name="Normal 4 4 14" xfId="8180" xr:uid="{650DE6E7-BA08-4F20-B144-46721D109AE6}"/>
    <cellStyle name="Normal 4 4 2" xfId="4293" xr:uid="{00000000-0005-0000-0000-000026110000}"/>
    <cellStyle name="Normal 4 4 3" xfId="4294" xr:uid="{00000000-0005-0000-0000-000027110000}"/>
    <cellStyle name="Normal 4 4 4" xfId="4295" xr:uid="{00000000-0005-0000-0000-000028110000}"/>
    <cellStyle name="Normal 4 4 5" xfId="4296" xr:uid="{00000000-0005-0000-0000-000029110000}"/>
    <cellStyle name="Normal 4 4 6" xfId="8181" xr:uid="{AEB0B5C9-132E-4419-9E36-6428FF5CF8AA}"/>
    <cellStyle name="Normal 4 4 7" xfId="8182" xr:uid="{C5D6CEBA-62F1-49AF-90B7-3C15F3D23DB7}"/>
    <cellStyle name="Normal 4 4 8" xfId="8183" xr:uid="{0F97BA98-DAFD-467F-8F00-E15B071EC28C}"/>
    <cellStyle name="Normal 4 4 9" xfId="8184" xr:uid="{A2D0ACD9-57D4-4425-BF91-25EB7E994AB1}"/>
    <cellStyle name="Normal 4 4_1 KeyFig" xfId="4297" xr:uid="{00000000-0005-0000-0000-00002A110000}"/>
    <cellStyle name="Normal 4 5" xfId="4298" xr:uid="{00000000-0005-0000-0000-00002B110000}"/>
    <cellStyle name="Normal 4 5 10" xfId="8185" xr:uid="{55F8FBFE-24C8-4F02-B0FE-7541E8B65544}"/>
    <cellStyle name="Normal 4 5 11" xfId="8186" xr:uid="{E4EC667F-0E7B-40A3-A3C1-259140512062}"/>
    <cellStyle name="Normal 4 5 12" xfId="8187" xr:uid="{9D867DBC-705A-4736-8B6B-6BD2BD110EFF}"/>
    <cellStyle name="Normal 4 5 13" xfId="8188" xr:uid="{CADB679C-235D-44AB-9678-630AA1989969}"/>
    <cellStyle name="Normal 4 5 14" xfId="8189" xr:uid="{D690FE4B-4295-4258-A76C-AE695197923A}"/>
    <cellStyle name="Normal 4 5 2" xfId="4299" xr:uid="{00000000-0005-0000-0000-00002C110000}"/>
    <cellStyle name="Normal 4 5 3" xfId="8190" xr:uid="{16C32389-D069-4EB4-8AA2-95DF02C9E761}"/>
    <cellStyle name="Normal 4 5 4" xfId="8191" xr:uid="{DA1A4CAE-76BF-4EAD-A228-D6D127A91848}"/>
    <cellStyle name="Normal 4 5 5" xfId="8192" xr:uid="{08AA73D5-F652-4BC2-9302-638D361EB011}"/>
    <cellStyle name="Normal 4 5 6" xfId="8193" xr:uid="{81B4B077-E2B1-4C4A-9CCD-34B5D5551CC9}"/>
    <cellStyle name="Normal 4 5 7" xfId="8194" xr:uid="{E1483E7C-E961-4BF9-AC3B-6BB93CD2FC6A}"/>
    <cellStyle name="Normal 4 5 8" xfId="8195" xr:uid="{3A32850C-F960-457D-B559-A45CB8E5967A}"/>
    <cellStyle name="Normal 4 5 9" xfId="8196" xr:uid="{2F351325-F33A-4195-8DA2-43D1400406C4}"/>
    <cellStyle name="Normal 4 5_1 KeyFig" xfId="4300" xr:uid="{00000000-0005-0000-0000-00002D110000}"/>
    <cellStyle name="Normal 4 6" xfId="4301" xr:uid="{00000000-0005-0000-0000-00002E110000}"/>
    <cellStyle name="Normal 4 6 10" xfId="8197" xr:uid="{ADF55C93-E757-4D19-B72A-56B3B2206EB1}"/>
    <cellStyle name="Normal 4 6 11" xfId="8198" xr:uid="{EACF8FB7-C035-4BF1-8EB5-7DB6A3E6C298}"/>
    <cellStyle name="Normal 4 6 12" xfId="8199" xr:uid="{8AF1CB7C-C224-41E1-857B-1B09FC139903}"/>
    <cellStyle name="Normal 4 6 13" xfId="8200" xr:uid="{F3E9BFAA-D030-4B45-926A-81A2BD69F84D}"/>
    <cellStyle name="Normal 4 6 14" xfId="8201" xr:uid="{2AAD3EFC-E1DF-4026-AD21-00ED2F01B8F1}"/>
    <cellStyle name="Normal 4 6 2" xfId="4302" xr:uid="{00000000-0005-0000-0000-00002F110000}"/>
    <cellStyle name="Normal 4 6 3" xfId="8202" xr:uid="{CDBC02AC-F56F-4B4D-A5B9-8ECDC7BA56E4}"/>
    <cellStyle name="Normal 4 6 4" xfId="8203" xr:uid="{30438912-4EBD-41F4-826C-354944DCD096}"/>
    <cellStyle name="Normal 4 6 5" xfId="8204" xr:uid="{2BBE32EF-9DB0-4838-BECD-A35C221DFF63}"/>
    <cellStyle name="Normal 4 6 6" xfId="8205" xr:uid="{CB3A5C65-679D-4D81-96DC-2AC663C491E6}"/>
    <cellStyle name="Normal 4 6 7" xfId="8206" xr:uid="{3A70A35D-DBA4-45AE-BC2C-9C1B43C6B05E}"/>
    <cellStyle name="Normal 4 6 8" xfId="8207" xr:uid="{134AC8CD-1915-4560-AA1C-54A35D9FC233}"/>
    <cellStyle name="Normal 4 6 9" xfId="8208" xr:uid="{5432D84C-ACDB-4144-B2C7-8BC323E6EB43}"/>
    <cellStyle name="Normal 4 6_1 KeyFig" xfId="4303" xr:uid="{00000000-0005-0000-0000-000030110000}"/>
    <cellStyle name="Normal 4 7" xfId="4304" xr:uid="{00000000-0005-0000-0000-000031110000}"/>
    <cellStyle name="Normal 4 7 10" xfId="8209" xr:uid="{1E66BF76-03FA-4AFC-8A98-3A905CAE82CC}"/>
    <cellStyle name="Normal 4 7 11" xfId="8210" xr:uid="{A84B1EB8-C6C5-4689-A6F0-78615BB01EEA}"/>
    <cellStyle name="Normal 4 7 12" xfId="8211" xr:uid="{A1D22ECF-CE9A-4D46-9417-D0CE2C6CE6B6}"/>
    <cellStyle name="Normal 4 7 13" xfId="8212" xr:uid="{9467A606-1D30-42F0-AB10-30A3A08452C1}"/>
    <cellStyle name="Normal 4 7 14" xfId="8213" xr:uid="{287E1A4A-CFE4-47BB-8A0E-E197D29CB774}"/>
    <cellStyle name="Normal 4 7 2" xfId="4305" xr:uid="{00000000-0005-0000-0000-000032110000}"/>
    <cellStyle name="Normal 4 7 3" xfId="8214" xr:uid="{177D408F-4454-467D-9055-A4B5BAB07CC3}"/>
    <cellStyle name="Normal 4 7 4" xfId="8215" xr:uid="{2BE8254E-58AE-4A5F-817D-293B8CCF337C}"/>
    <cellStyle name="Normal 4 7 5" xfId="8216" xr:uid="{43980A3B-7D29-4465-968D-28C1567B43E5}"/>
    <cellStyle name="Normal 4 7 6" xfId="8217" xr:uid="{3019C519-86FB-477C-BBBE-84E2E3198758}"/>
    <cellStyle name="Normal 4 7 7" xfId="8218" xr:uid="{BED11D3C-C151-49E9-BFFF-87CF83412FCD}"/>
    <cellStyle name="Normal 4 7 8" xfId="8219" xr:uid="{6FF3BE6F-FFCC-4853-AE27-67C022D3DB4F}"/>
    <cellStyle name="Normal 4 7 9" xfId="8220" xr:uid="{B8258358-A1A1-48A2-B228-E785204D6576}"/>
    <cellStyle name="Normal 4 7_1 KeyFig" xfId="4306" xr:uid="{00000000-0005-0000-0000-000033110000}"/>
    <cellStyle name="Normal 4 8" xfId="4307" xr:uid="{00000000-0005-0000-0000-000034110000}"/>
    <cellStyle name="Normal 4 8 10" xfId="8221" xr:uid="{5FBB58C7-1CB7-43E3-A499-78AB5BE9A25D}"/>
    <cellStyle name="Normal 4 8 11" xfId="8222" xr:uid="{5FA7DC78-53A1-487A-BEAA-4D087D367E6E}"/>
    <cellStyle name="Normal 4 8 12" xfId="8223" xr:uid="{702494E3-182D-451B-9269-0C404326E7AE}"/>
    <cellStyle name="Normal 4 8 13" xfId="8224" xr:uid="{2EC4BA3C-2777-47E6-A3C4-79604860AD63}"/>
    <cellStyle name="Normal 4 8 14" xfId="8225" xr:uid="{174DD556-9C2A-4F99-8A43-CA8AF34D1AB6}"/>
    <cellStyle name="Normal 4 8 2" xfId="8226" xr:uid="{B1CB6A45-E29D-4264-A5DA-A281D4BCD4F3}"/>
    <cellStyle name="Normal 4 8 3" xfId="8227" xr:uid="{9EA36529-2105-4949-B103-C6A037F2AD0E}"/>
    <cellStyle name="Normal 4 8 4" xfId="8228" xr:uid="{211D7D4D-4D17-4748-9F82-C9F0AD72E341}"/>
    <cellStyle name="Normal 4 8 5" xfId="8229" xr:uid="{18F3CDEE-20FC-49EF-BF1B-28D10F2D17F0}"/>
    <cellStyle name="Normal 4 8 6" xfId="8230" xr:uid="{E32D6928-6F61-46CD-9CB7-3A3FC23F403A}"/>
    <cellStyle name="Normal 4 8 7" xfId="8231" xr:uid="{F4891663-53AB-4D25-8DE1-CFB1AD70D346}"/>
    <cellStyle name="Normal 4 8 8" xfId="8232" xr:uid="{FF651A2A-EB2B-43FF-AFD1-FB7325EBAEE6}"/>
    <cellStyle name="Normal 4 8 9" xfId="8233" xr:uid="{77A4111E-F683-4911-9157-56C5CD05F470}"/>
    <cellStyle name="Normal 4 8_Adjusted bridges" xfId="11118" xr:uid="{6EE2AFF3-6310-4ECA-A2DE-5EFE46231932}"/>
    <cellStyle name="Normal 4 9" xfId="4308" xr:uid="{00000000-0005-0000-0000-000035110000}"/>
    <cellStyle name="Normal 4_1 KeyFig" xfId="4309" xr:uid="{00000000-0005-0000-0000-000036110000}"/>
    <cellStyle name="Normal 40" xfId="4310" xr:uid="{00000000-0005-0000-0000-000037110000}"/>
    <cellStyle name="Normal 40 2" xfId="8234" xr:uid="{75C3E6FA-B8EE-4A60-AAF7-E3B1EA35D85F}"/>
    <cellStyle name="Normal 40_Acq input" xfId="8235" xr:uid="{2CB190B6-F73C-42FC-9926-FEBFC6F94D2D}"/>
    <cellStyle name="Normal 41" xfId="4311" xr:uid="{00000000-0005-0000-0000-000038110000}"/>
    <cellStyle name="Normal 41 2" xfId="8236" xr:uid="{1BFF06BC-C064-4DA5-A852-ACC12D1DFD2C}"/>
    <cellStyle name="Normal 41_Acq input" xfId="8237" xr:uid="{20C585D3-7150-4BA6-B8B1-C7A547E5E7E9}"/>
    <cellStyle name="Normal 42" xfId="4312" xr:uid="{00000000-0005-0000-0000-000039110000}"/>
    <cellStyle name="Normal 42 2" xfId="8238" xr:uid="{64D899C7-1702-41A4-B83E-AF6DEB84122C}"/>
    <cellStyle name="Normal 42_Acq input" xfId="8239" xr:uid="{F823BE46-EF5E-41D5-9910-C44DCEFF484A}"/>
    <cellStyle name="Normal 43" xfId="4313" xr:uid="{00000000-0005-0000-0000-00003A110000}"/>
    <cellStyle name="Normal 43 2" xfId="8240" xr:uid="{7C849845-FA8C-48B3-B252-86BF03BB7432}"/>
    <cellStyle name="Normal 43_Acq input" xfId="8241" xr:uid="{E964DC2B-5919-48FF-B795-69B15FAA11E6}"/>
    <cellStyle name="Normal 44" xfId="4314" xr:uid="{00000000-0005-0000-0000-00003B110000}"/>
    <cellStyle name="Normal 44 2" xfId="8242" xr:uid="{7A131363-32DB-4E31-836E-7146531A4E27}"/>
    <cellStyle name="Normal 44_Acq input" xfId="8243" xr:uid="{B281AC27-F5F6-479D-9C68-92CE16C32A65}"/>
    <cellStyle name="Normal 45" xfId="4315" xr:uid="{00000000-0005-0000-0000-00003C110000}"/>
    <cellStyle name="Normal 45 2" xfId="8244" xr:uid="{57D65944-D4EB-4BB0-ACCC-BE7FC398A36E}"/>
    <cellStyle name="Normal 45_Acq input" xfId="8245" xr:uid="{92B9AF4A-AB21-4C35-ABE4-49993B4E6757}"/>
    <cellStyle name="Normal 46" xfId="4316" xr:uid="{00000000-0005-0000-0000-00003D110000}"/>
    <cellStyle name="Normal 46 2" xfId="8246" xr:uid="{6F63165A-FE48-4332-9CAE-A7D54E31D0B5}"/>
    <cellStyle name="Normal 46_Acq input" xfId="8247" xr:uid="{59C93B69-894D-418C-9DF8-572076E76845}"/>
    <cellStyle name="Normal 47" xfId="4317" xr:uid="{00000000-0005-0000-0000-00003E110000}"/>
    <cellStyle name="Normal 47 2" xfId="8248" xr:uid="{C947BED7-4B4F-42FE-87D3-46065A86486A}"/>
    <cellStyle name="Normal 47_Acq input" xfId="8249" xr:uid="{E1EA3BDF-AD8C-4996-8B20-20C826700C89}"/>
    <cellStyle name="Normal 48" xfId="4318" xr:uid="{00000000-0005-0000-0000-00003F110000}"/>
    <cellStyle name="Normal 48 2" xfId="8250" xr:uid="{60888C0C-B4A6-421A-8927-E1BD90D2C0C0}"/>
    <cellStyle name="Normal 48_Acq input" xfId="8251" xr:uid="{1315DF9E-F35C-4DDB-8D82-380445F6143F}"/>
    <cellStyle name="Normal 49" xfId="4319" xr:uid="{00000000-0005-0000-0000-000040110000}"/>
    <cellStyle name="Normal 49 2" xfId="8252" xr:uid="{6F19F3E6-2EA6-4AC7-8364-EB7833FF8A9C}"/>
    <cellStyle name="Normal 49_Acq input" xfId="8253" xr:uid="{03995A0E-BAFC-4823-B71A-53CFBACA73AD}"/>
    <cellStyle name="Normal 5" xfId="351" xr:uid="{00000000-0005-0000-0000-000041110000}"/>
    <cellStyle name="Normal 5 10" xfId="4320" xr:uid="{00000000-0005-0000-0000-000042110000}"/>
    <cellStyle name="Normal 5 11" xfId="4321" xr:uid="{00000000-0005-0000-0000-000043110000}"/>
    <cellStyle name="Normal 5 12" xfId="4322" xr:uid="{00000000-0005-0000-0000-000044110000}"/>
    <cellStyle name="Normal 5 13" xfId="4323" xr:uid="{00000000-0005-0000-0000-000045110000}"/>
    <cellStyle name="Normal 5 14" xfId="4324" xr:uid="{00000000-0005-0000-0000-000046110000}"/>
    <cellStyle name="Normal 5 15" xfId="4325" xr:uid="{00000000-0005-0000-0000-000047110000}"/>
    <cellStyle name="Normal 5 16" xfId="4326" xr:uid="{00000000-0005-0000-0000-000048110000}"/>
    <cellStyle name="Normal 5 17" xfId="4327" xr:uid="{00000000-0005-0000-0000-000049110000}"/>
    <cellStyle name="Normal 5 18" xfId="4328" xr:uid="{00000000-0005-0000-0000-00004A110000}"/>
    <cellStyle name="Normal 5 19" xfId="4329" xr:uid="{00000000-0005-0000-0000-00004B110000}"/>
    <cellStyle name="Normal 5 2" xfId="352" xr:uid="{00000000-0005-0000-0000-00004C110000}"/>
    <cellStyle name="Normal 5 2 2" xfId="4330" xr:uid="{00000000-0005-0000-0000-00004D110000}"/>
    <cellStyle name="Normal 5 2 2 2" xfId="4331" xr:uid="{00000000-0005-0000-0000-00004E110000}"/>
    <cellStyle name="Normal 5 2 2 3" xfId="4332" xr:uid="{00000000-0005-0000-0000-00004F110000}"/>
    <cellStyle name="Normal 5 2 2 4" xfId="4333" xr:uid="{00000000-0005-0000-0000-000050110000}"/>
    <cellStyle name="Normal 5 2 2 5" xfId="4334" xr:uid="{00000000-0005-0000-0000-000051110000}"/>
    <cellStyle name="Normal 5 2 2_1 KeyFig" xfId="4335" xr:uid="{00000000-0005-0000-0000-000052110000}"/>
    <cellStyle name="Normal 5 2 3" xfId="4336" xr:uid="{00000000-0005-0000-0000-000053110000}"/>
    <cellStyle name="Normal 5 2 3 2" xfId="4337" xr:uid="{00000000-0005-0000-0000-000054110000}"/>
    <cellStyle name="Normal 5 2 3 3" xfId="4338" xr:uid="{00000000-0005-0000-0000-000055110000}"/>
    <cellStyle name="Normal 5 2 3 4" xfId="4339" xr:uid="{00000000-0005-0000-0000-000056110000}"/>
    <cellStyle name="Normal 5 2 3 5" xfId="4340" xr:uid="{00000000-0005-0000-0000-000057110000}"/>
    <cellStyle name="Normal 5 2 3_1 KeyFig" xfId="4341" xr:uid="{00000000-0005-0000-0000-000058110000}"/>
    <cellStyle name="Normal 5 2 4" xfId="4342" xr:uid="{00000000-0005-0000-0000-000059110000}"/>
    <cellStyle name="Normal 5 2 5" xfId="4343" xr:uid="{00000000-0005-0000-0000-00005A110000}"/>
    <cellStyle name="Normal 5 2 6" xfId="4344" xr:uid="{00000000-0005-0000-0000-00005B110000}"/>
    <cellStyle name="Normal 5 2_1 KeyFig" xfId="4345" xr:uid="{00000000-0005-0000-0000-00005C110000}"/>
    <cellStyle name="Normal 5 3" xfId="4346" xr:uid="{00000000-0005-0000-0000-00005D110000}"/>
    <cellStyle name="Normal 5 3 2" xfId="4347" xr:uid="{00000000-0005-0000-0000-00005E110000}"/>
    <cellStyle name="Normal 5 3 3" xfId="4348" xr:uid="{00000000-0005-0000-0000-00005F110000}"/>
    <cellStyle name="Normal 5 3 4" xfId="4349" xr:uid="{00000000-0005-0000-0000-000060110000}"/>
    <cellStyle name="Normal 5 3 5" xfId="4350" xr:uid="{00000000-0005-0000-0000-000061110000}"/>
    <cellStyle name="Normal 5 3_1 KeyFig" xfId="4351" xr:uid="{00000000-0005-0000-0000-000062110000}"/>
    <cellStyle name="Normal 5 4" xfId="4352" xr:uid="{00000000-0005-0000-0000-000063110000}"/>
    <cellStyle name="Normal 5 4 2" xfId="4353" xr:uid="{00000000-0005-0000-0000-000064110000}"/>
    <cellStyle name="Normal 5 4_1 KeyFig" xfId="4354" xr:uid="{00000000-0005-0000-0000-000065110000}"/>
    <cellStyle name="Normal 5 5" xfId="4355" xr:uid="{00000000-0005-0000-0000-000066110000}"/>
    <cellStyle name="Normal 5 5 2" xfId="4356" xr:uid="{00000000-0005-0000-0000-000067110000}"/>
    <cellStyle name="Normal 5 5_1 KeyFig" xfId="4357" xr:uid="{00000000-0005-0000-0000-000068110000}"/>
    <cellStyle name="Normal 5 6" xfId="4358" xr:uid="{00000000-0005-0000-0000-000069110000}"/>
    <cellStyle name="Normal 5 6 2" xfId="4359" xr:uid="{00000000-0005-0000-0000-00006A110000}"/>
    <cellStyle name="Normal 5 6_1 KeyFig" xfId="4360" xr:uid="{00000000-0005-0000-0000-00006B110000}"/>
    <cellStyle name="Normal 5 7" xfId="4361" xr:uid="{00000000-0005-0000-0000-00006C110000}"/>
    <cellStyle name="Normal 5 7 2" xfId="4362" xr:uid="{00000000-0005-0000-0000-00006D110000}"/>
    <cellStyle name="Normal 5 7_1 KeyFig" xfId="4363" xr:uid="{00000000-0005-0000-0000-00006E110000}"/>
    <cellStyle name="Normal 5 8" xfId="4364" xr:uid="{00000000-0005-0000-0000-00006F110000}"/>
    <cellStyle name="Normal 5 8 2" xfId="4365" xr:uid="{00000000-0005-0000-0000-000070110000}"/>
    <cellStyle name="Normal 5 8_1 KeyFig" xfId="4366" xr:uid="{00000000-0005-0000-0000-000071110000}"/>
    <cellStyle name="Normal 5 9" xfId="4367" xr:uid="{00000000-0005-0000-0000-000072110000}"/>
    <cellStyle name="Normal 5_1 KeyFig" xfId="4368" xr:uid="{00000000-0005-0000-0000-000073110000}"/>
    <cellStyle name="Normal 50" xfId="4369" xr:uid="{00000000-0005-0000-0000-000074110000}"/>
    <cellStyle name="Normal 50 2" xfId="8254" xr:uid="{1732E15B-D4D6-423E-8C13-2E5A7F615926}"/>
    <cellStyle name="Normal 50_Acq input" xfId="8255" xr:uid="{171BF685-B241-431B-A9FA-B69912AD7339}"/>
    <cellStyle name="Normal 51" xfId="4370" xr:uid="{00000000-0005-0000-0000-000075110000}"/>
    <cellStyle name="Normal 51 2" xfId="8256" xr:uid="{2772D6FF-8FBA-4B24-AD01-4F6C562D38C6}"/>
    <cellStyle name="Normal 51_Acq input" xfId="8257" xr:uid="{E3ABB7D3-FF4F-4813-B24D-0D5460A041A6}"/>
    <cellStyle name="Normal 52" xfId="4371" xr:uid="{00000000-0005-0000-0000-000076110000}"/>
    <cellStyle name="Normal 52 2" xfId="8258" xr:uid="{36C2CFBE-A9A8-4FDF-9C4F-E0842948FC31}"/>
    <cellStyle name="Normal 52_Acq input" xfId="8259" xr:uid="{EDB0517C-95C6-454B-9107-4826606CDC51}"/>
    <cellStyle name="Normal 53" xfId="4372" xr:uid="{00000000-0005-0000-0000-000077110000}"/>
    <cellStyle name="Normal 53 2" xfId="8260" xr:uid="{FA2EAAC3-3A50-4241-91D5-2D88ACC5C31F}"/>
    <cellStyle name="Normal 53_Acq input" xfId="8261" xr:uid="{0211F8AF-B920-4876-BB43-CC33A0E5C201}"/>
    <cellStyle name="Normal 54" xfId="4373" xr:uid="{00000000-0005-0000-0000-000078110000}"/>
    <cellStyle name="Normal 54 2" xfId="8262" xr:uid="{4CA5E006-C00E-4007-A20F-09D421651BAD}"/>
    <cellStyle name="Normal 54_Acq input" xfId="8263" xr:uid="{CD86878C-7DAC-445A-9BA1-60309E9FE231}"/>
    <cellStyle name="Normal 55" xfId="4374" xr:uid="{00000000-0005-0000-0000-000079110000}"/>
    <cellStyle name="Normal 55 2" xfId="8264" xr:uid="{18FDB434-5D2B-4F38-94A0-1644AED5D381}"/>
    <cellStyle name="Normal 55 3" xfId="8265" xr:uid="{8509FA74-2124-4A21-925B-ECA32D8E0DCE}"/>
    <cellStyle name="Normal 55_Acq input" xfId="8266" xr:uid="{FC84CD11-EF15-44F7-B038-AEE27E12F1EC}"/>
    <cellStyle name="Normal 56" xfId="4375" xr:uid="{00000000-0005-0000-0000-00007A110000}"/>
    <cellStyle name="Normal 56 2" xfId="8267" xr:uid="{4599219C-08CB-48C4-A6C6-9C59E50A1D5E}"/>
    <cellStyle name="Normal 56_Acq input" xfId="8268" xr:uid="{C369C517-663A-4A81-9714-23881BE3F44B}"/>
    <cellStyle name="Normal 57" xfId="4376" xr:uid="{00000000-0005-0000-0000-00007B110000}"/>
    <cellStyle name="Normal 57 2" xfId="8269" xr:uid="{E3C861D3-0911-434B-B68E-E9CF9BFB2C03}"/>
    <cellStyle name="Normal 57_Acq input" xfId="8270" xr:uid="{A6FF072B-9283-4A05-8ECC-67D4D047342F}"/>
    <cellStyle name="Normal 58" xfId="4377" xr:uid="{00000000-0005-0000-0000-00007C110000}"/>
    <cellStyle name="Normal 58 2" xfId="8271" xr:uid="{4DB3FF95-A6AB-446C-A23C-B3B394E195AF}"/>
    <cellStyle name="Normal 58_Acq input" xfId="8272" xr:uid="{8D90AC1B-764C-4BCB-A0CA-CFFE5A7A09AD}"/>
    <cellStyle name="Normal 59" xfId="4378" xr:uid="{00000000-0005-0000-0000-00007D110000}"/>
    <cellStyle name="Normal 6" xfId="8" xr:uid="{00000000-0005-0000-0000-00007E110000}"/>
    <cellStyle name="Normal 6 10" xfId="4379" xr:uid="{00000000-0005-0000-0000-00007F110000}"/>
    <cellStyle name="Normal 6 10 10" xfId="8273" xr:uid="{A7AA869A-7B3A-46BB-BA81-1C9EED9BB5E7}"/>
    <cellStyle name="Normal 6 10 10 10" xfId="8274" xr:uid="{25E16B1C-EEC1-4C5E-B6FE-6CFE1FF9DC22}"/>
    <cellStyle name="Normal 6 10 10 11" xfId="8275" xr:uid="{2A3903FE-F63A-43DA-AA72-141F8DA18AAD}"/>
    <cellStyle name="Normal 6 10 10 12" xfId="8276" xr:uid="{BBD42B0A-B5AC-4F57-BEAF-8D90D74CE390}"/>
    <cellStyle name="Normal 6 10 10 13" xfId="8277" xr:uid="{CB6C3E52-4FB4-403B-9F36-4CD50E1ECB60}"/>
    <cellStyle name="Normal 6 10 10 14" xfId="8278" xr:uid="{EC15BEDE-4867-4E92-A721-94310F74C6E5}"/>
    <cellStyle name="Normal 6 10 10 15" xfId="8279" xr:uid="{654EF563-4E1E-452B-A10C-6CE293B73554}"/>
    <cellStyle name="Normal 6 10 10 16" xfId="8280" xr:uid="{4E5ACA42-E1DD-486D-AA52-E21F7D4FE9EA}"/>
    <cellStyle name="Normal 6 10 10 17" xfId="8281" xr:uid="{1834C477-C2F8-4C16-9257-745E828E725F}"/>
    <cellStyle name="Normal 6 10 10 18" xfId="8282" xr:uid="{5736D8C2-3E9A-46F9-A77E-7777BB10D936}"/>
    <cellStyle name="Normal 6 10 10 19" xfId="8283" xr:uid="{8482D170-B4C8-4652-BF33-5D50C8A91DCB}"/>
    <cellStyle name="Normal 6 10 10 2" xfId="8284" xr:uid="{A995AF7A-FF74-4186-AEE3-DC3CB2A58F4A}"/>
    <cellStyle name="Normal 6 10 10 20" xfId="8285" xr:uid="{4ABA3AE5-7DB1-4DBE-ABB6-CC3F0A8719CE}"/>
    <cellStyle name="Normal 6 10 10 21" xfId="8286" xr:uid="{9F57BEB3-E48A-4656-BE3D-FD247725B2A3}"/>
    <cellStyle name="Normal 6 10 10 22" xfId="8287" xr:uid="{F5F997FF-65F9-422A-8BD7-BE89A5C7F0FC}"/>
    <cellStyle name="Normal 6 10 10 23" xfId="8288" xr:uid="{C6B284F0-C0B6-479C-99EB-A397EB96DD0F}"/>
    <cellStyle name="Normal 6 10 10 24" xfId="8289" xr:uid="{4591A8D7-CC7A-4C87-AF8C-AE1B731ED86F}"/>
    <cellStyle name="Normal 6 10 10 25" xfId="8290" xr:uid="{3A1EA84A-D927-44E7-A5BC-C50F8ACD469B}"/>
    <cellStyle name="Normal 6 10 10 26" xfId="8291" xr:uid="{CA24568E-9B9D-4548-806E-009F192F085F}"/>
    <cellStyle name="Normal 6 10 10 3" xfId="8292" xr:uid="{E3537138-3152-47FB-876D-32D90971B532}"/>
    <cellStyle name="Normal 6 10 10 4" xfId="8293" xr:uid="{B4643CD5-CB19-4B59-BA53-A81F66FC2B46}"/>
    <cellStyle name="Normal 6 10 10 5" xfId="8294" xr:uid="{BC245489-6B27-470E-B1AD-3704E2EE21C8}"/>
    <cellStyle name="Normal 6 10 10 6" xfId="8295" xr:uid="{4E217935-6287-4DF7-AEA0-CD7CE317F1B6}"/>
    <cellStyle name="Normal 6 10 10 7" xfId="8296" xr:uid="{FA91F318-75EF-4219-B9FE-D2DB84F0D2AD}"/>
    <cellStyle name="Normal 6 10 10 8" xfId="8297" xr:uid="{30F59070-F482-4102-8E83-5E118D06AE7A}"/>
    <cellStyle name="Normal 6 10 10 9" xfId="8298" xr:uid="{144972E6-9137-4357-897F-2CC40B4AE8CB}"/>
    <cellStyle name="Normal 6 10 10_Manual Consol" xfId="8299" xr:uid="{D5C628A5-7503-4C02-9D0B-D0DA0E99FCE9}"/>
    <cellStyle name="Normal 6 10 11" xfId="8300" xr:uid="{33B82D78-0220-4C02-AF5E-1AE4C81FFB95}"/>
    <cellStyle name="Normal 6 10 12" xfId="8301" xr:uid="{F88580CE-1357-469C-99EA-4BAA447C662C}"/>
    <cellStyle name="Normal 6 10 13" xfId="8302" xr:uid="{2FE186AE-F927-4100-87E4-37479E1FC09F}"/>
    <cellStyle name="Normal 6 10 14" xfId="8303" xr:uid="{5837E227-3E6D-4355-94EB-5ACC99A82789}"/>
    <cellStyle name="Normal 6 10 15" xfId="8304" xr:uid="{7627134D-F57E-403C-B21B-CA3A30E30261}"/>
    <cellStyle name="Normal 6 10 16" xfId="8305" xr:uid="{46C7A0D6-10C6-471B-93CD-2B911DAB6998}"/>
    <cellStyle name="Normal 6 10 17" xfId="8306" xr:uid="{FCDD504C-6CD4-4A47-85D8-337B71C7B88E}"/>
    <cellStyle name="Normal 6 10 18" xfId="8307" xr:uid="{6A529E16-188B-46F6-A5D3-77FA14E9C362}"/>
    <cellStyle name="Normal 6 10 19" xfId="8308" xr:uid="{FE71E066-06BE-40B4-83F9-14686C3959C1}"/>
    <cellStyle name="Normal 6 10 2" xfId="8309" xr:uid="{06A3D8F2-0183-46BD-A2BD-02C5ED3A4689}"/>
    <cellStyle name="Normal 6 10 2 10" xfId="8310" xr:uid="{B7C60880-C0ED-4FCF-9A78-53A54391B52F}"/>
    <cellStyle name="Normal 6 10 2 11" xfId="8311" xr:uid="{DBB6A4CD-2254-47EA-B420-37C6C2562529}"/>
    <cellStyle name="Normal 6 10 2 12" xfId="8312" xr:uid="{745C37AE-9C58-4489-8E22-4993B4A1E121}"/>
    <cellStyle name="Normal 6 10 2 13" xfId="8313" xr:uid="{41A55181-32D4-4D46-986B-F89993617D7C}"/>
    <cellStyle name="Normal 6 10 2 14" xfId="8314" xr:uid="{A6451163-347D-4A44-B556-0A74CF1D4F53}"/>
    <cellStyle name="Normal 6 10 2 15" xfId="8315" xr:uid="{F8DED8DF-3A2C-457F-9D95-149DFE8A3652}"/>
    <cellStyle name="Normal 6 10 2 16" xfId="8316" xr:uid="{C6CA10E8-3939-4F57-9811-69BF933447A1}"/>
    <cellStyle name="Normal 6 10 2 17" xfId="8317" xr:uid="{6AD3669F-A823-4DE8-928B-8EEA2DC1B9C8}"/>
    <cellStyle name="Normal 6 10 2 18" xfId="8318" xr:uid="{DE5FA5EA-6E90-4408-96C9-4FCA125A5B37}"/>
    <cellStyle name="Normal 6 10 2 19" xfId="8319" xr:uid="{C0AD5517-9601-49AF-9198-C199A10C86F0}"/>
    <cellStyle name="Normal 6 10 2 2" xfId="8320" xr:uid="{936654B8-09A2-49C0-8DC8-6ABBA20E8E26}"/>
    <cellStyle name="Normal 6 10 2 2 10" xfId="8321" xr:uid="{BA73DDFD-5B62-4D06-A6B1-36253D611925}"/>
    <cellStyle name="Normal 6 10 2 2 11" xfId="8322" xr:uid="{1453BA79-3DAD-4C83-836A-29E197CD630B}"/>
    <cellStyle name="Normal 6 10 2 2 12" xfId="8323" xr:uid="{1F97D42E-9767-4B34-88B8-B1DE7761DF67}"/>
    <cellStyle name="Normal 6 10 2 2 13" xfId="8324" xr:uid="{95D0265B-9B4B-43E6-B5C6-EEBFA6E5BF8B}"/>
    <cellStyle name="Normal 6 10 2 2 14" xfId="8325" xr:uid="{2828699F-DD60-4530-8077-FC7DE45225EE}"/>
    <cellStyle name="Normal 6 10 2 2 15" xfId="8326" xr:uid="{4D32C905-CB65-4823-A082-866BC177B5A8}"/>
    <cellStyle name="Normal 6 10 2 2 16" xfId="8327" xr:uid="{69AD7D98-6B5B-42EF-A248-5C0293EE407F}"/>
    <cellStyle name="Normal 6 10 2 2 17" xfId="8328" xr:uid="{81514698-88B6-4D5D-AE4E-2B4009929BDD}"/>
    <cellStyle name="Normal 6 10 2 2 18" xfId="8329" xr:uid="{19510A09-25E2-4F89-9E8E-17324C06F246}"/>
    <cellStyle name="Normal 6 10 2 2 19" xfId="8330" xr:uid="{0CF25CB5-C30A-40F2-8DB9-E6F5ACFBF951}"/>
    <cellStyle name="Normal 6 10 2 2 2" xfId="8331" xr:uid="{DAA637A5-8E7E-4ADC-97BA-5DF6A20A2912}"/>
    <cellStyle name="Normal 6 10 2 2 20" xfId="8332" xr:uid="{B47A64EC-98F0-4658-BFCD-62299FAC801B}"/>
    <cellStyle name="Normal 6 10 2 2 21" xfId="8333" xr:uid="{E0346E01-FD8D-42B9-8991-AA52DAE47AE1}"/>
    <cellStyle name="Normal 6 10 2 2 22" xfId="8334" xr:uid="{97C27449-3D80-4AFB-8833-0FDCA2E46DE0}"/>
    <cellStyle name="Normal 6 10 2 2 23" xfId="8335" xr:uid="{DE62162B-AE12-4AF1-9B25-27B21DF0F22F}"/>
    <cellStyle name="Normal 6 10 2 2 24" xfId="8336" xr:uid="{4D7375AB-0696-4F96-B79B-9F2025037D80}"/>
    <cellStyle name="Normal 6 10 2 2 25" xfId="8337" xr:uid="{3B9E15E9-850E-4DD6-A86D-484535FF23CC}"/>
    <cellStyle name="Normal 6 10 2 2 26" xfId="8338" xr:uid="{1AC210B6-8E64-4586-80FF-358727CEBF16}"/>
    <cellStyle name="Normal 6 10 2 2 3" xfId="8339" xr:uid="{48FAD8E7-47BF-4C20-B962-3A174C0EFA00}"/>
    <cellStyle name="Normal 6 10 2 2 4" xfId="8340" xr:uid="{C414A71D-4E75-4936-8BB5-D875AA3B5C7C}"/>
    <cellStyle name="Normal 6 10 2 2 5" xfId="8341" xr:uid="{90509140-E264-4997-830E-BDFD33B9D74A}"/>
    <cellStyle name="Normal 6 10 2 2 6" xfId="8342" xr:uid="{3A98708E-B13C-455D-BA87-838968E1E8D1}"/>
    <cellStyle name="Normal 6 10 2 2 7" xfId="8343" xr:uid="{4C528DB4-74BF-48A7-AA6A-C14F5DB76557}"/>
    <cellStyle name="Normal 6 10 2 2 8" xfId="8344" xr:uid="{869648F2-9A37-4A6A-B3CB-AE93C3B8BDC9}"/>
    <cellStyle name="Normal 6 10 2 2 9" xfId="8345" xr:uid="{69176A78-DA50-430F-AEED-5A9792DF3B2A}"/>
    <cellStyle name="Normal 6 10 2 2_Manual Consol" xfId="8346" xr:uid="{25EEA5D7-BA04-44A8-9CAC-20D85D06A1D2}"/>
    <cellStyle name="Normal 6 10 2 20" xfId="8347" xr:uid="{A0F01524-5A96-478F-95DF-77D2B5EBA27D}"/>
    <cellStyle name="Normal 6 10 2 21" xfId="8348" xr:uid="{9699E5AB-B684-46C8-945B-BCBE50E0AC0E}"/>
    <cellStyle name="Normal 6 10 2 22" xfId="8349" xr:uid="{03F20C06-07E4-49E8-8042-176783E0700A}"/>
    <cellStyle name="Normal 6 10 2 23" xfId="8350" xr:uid="{8654CD32-A372-42B9-ABA0-4D50595F769B}"/>
    <cellStyle name="Normal 6 10 2 24" xfId="8351" xr:uid="{1F87EFB8-EF1B-4E53-8C08-D1CEAC26D05E}"/>
    <cellStyle name="Normal 6 10 2 25" xfId="8352" xr:uid="{F0E49E9B-858C-48B1-AD8C-5FB70F581155}"/>
    <cellStyle name="Normal 6 10 2 26" xfId="8353" xr:uid="{E6E9C859-E16B-4CAD-9C82-CDB0CB32A965}"/>
    <cellStyle name="Normal 6 10 2 27" xfId="8354" xr:uid="{F19C7DEC-A5E6-48AC-B07C-5E603EAC7CB8}"/>
    <cellStyle name="Normal 6 10 2 28" xfId="8355" xr:uid="{25ED6A89-0628-4D65-A56A-B9CC25AABE04}"/>
    <cellStyle name="Normal 6 10 2 29" xfId="8356" xr:uid="{373CA181-4F8B-4D69-A0D9-988978D69BB9}"/>
    <cellStyle name="Normal 6 10 2 3" xfId="8357" xr:uid="{E4493737-97B1-4A1A-A5D4-FCB58A9B8064}"/>
    <cellStyle name="Normal 6 10 2 3 10" xfId="8358" xr:uid="{7E3B2326-DC61-4E28-AEFF-4B41DCCCE0CB}"/>
    <cellStyle name="Normal 6 10 2 3 11" xfId="8359" xr:uid="{AA91131B-2C58-4A4E-83A9-712A128B46DA}"/>
    <cellStyle name="Normal 6 10 2 3 12" xfId="8360" xr:uid="{F6356DFE-657B-475B-922A-1C227B5A4908}"/>
    <cellStyle name="Normal 6 10 2 3 13" xfId="8361" xr:uid="{E2E40C5A-34B4-4203-B14C-3BFA64D9C9D4}"/>
    <cellStyle name="Normal 6 10 2 3 14" xfId="8362" xr:uid="{FBCA372A-1997-46F9-BB1F-F29679E39B07}"/>
    <cellStyle name="Normal 6 10 2 3 15" xfId="8363" xr:uid="{FAD4B3A8-0741-42A6-9E67-CBEF16638093}"/>
    <cellStyle name="Normal 6 10 2 3 16" xfId="8364" xr:uid="{B8F3129E-56A1-4A36-AB66-DBB73F027C78}"/>
    <cellStyle name="Normal 6 10 2 3 17" xfId="8365" xr:uid="{A05A57CE-ED44-4922-9F1C-348E468A9A11}"/>
    <cellStyle name="Normal 6 10 2 3 18" xfId="8366" xr:uid="{888F8E09-6AF5-48A0-A398-26CD02D20268}"/>
    <cellStyle name="Normal 6 10 2 3 19" xfId="8367" xr:uid="{2A894925-398E-41CF-ABEE-24B450C3D30A}"/>
    <cellStyle name="Normal 6 10 2 3 2" xfId="8368" xr:uid="{94F44664-668F-4790-B063-063FDC19DD15}"/>
    <cellStyle name="Normal 6 10 2 3 20" xfId="8369" xr:uid="{AB0B2F93-68B8-45ED-9E7B-7F26B7A6E0A9}"/>
    <cellStyle name="Normal 6 10 2 3 21" xfId="8370" xr:uid="{67BD7EE5-3EC8-403B-BC54-95C0594EE8E5}"/>
    <cellStyle name="Normal 6 10 2 3 22" xfId="8371" xr:uid="{489AB2F5-9D83-4739-908A-0834CC449F4E}"/>
    <cellStyle name="Normal 6 10 2 3 23" xfId="8372" xr:uid="{52324E78-758A-4840-8FCF-0A243A109333}"/>
    <cellStyle name="Normal 6 10 2 3 24" xfId="8373" xr:uid="{E361FE95-6C79-4656-9180-64B02B1AEDCE}"/>
    <cellStyle name="Normal 6 10 2 3 25" xfId="8374" xr:uid="{3BDCECE4-C426-496B-BE42-B62DDD757AB0}"/>
    <cellStyle name="Normal 6 10 2 3 26" xfId="8375" xr:uid="{3D26EF10-DB2C-40BA-961C-6057F2622601}"/>
    <cellStyle name="Normal 6 10 2 3 3" xfId="8376" xr:uid="{DCBC5309-5E3B-4B18-BEE0-9F4DBA0E1D99}"/>
    <cellStyle name="Normal 6 10 2 3 4" xfId="8377" xr:uid="{700960C5-FC14-473C-9387-B86050E2D23F}"/>
    <cellStyle name="Normal 6 10 2 3 5" xfId="8378" xr:uid="{8798ABE7-4298-495A-9C08-71D0CA97435C}"/>
    <cellStyle name="Normal 6 10 2 3 6" xfId="8379" xr:uid="{5C1F411D-7C77-4028-93AA-A56537ABA2D6}"/>
    <cellStyle name="Normal 6 10 2 3 7" xfId="8380" xr:uid="{C559A6A1-6430-44F7-8904-CDFF992A580E}"/>
    <cellStyle name="Normal 6 10 2 3 8" xfId="8381" xr:uid="{92AEC361-7D5A-4105-AC52-1BB4704B5668}"/>
    <cellStyle name="Normal 6 10 2 3 9" xfId="8382" xr:uid="{33216C30-7C60-4B2E-8036-B07FFC217043}"/>
    <cellStyle name="Normal 6 10 2 3_Manual Consol" xfId="8383" xr:uid="{F9DB6D90-F2BA-4966-9B3F-9331E2CEE477}"/>
    <cellStyle name="Normal 6 10 2 30" xfId="8384" xr:uid="{1147F3B4-973E-4EE6-A974-71508F717599}"/>
    <cellStyle name="Normal 6 10 2 31" xfId="8385" xr:uid="{3A9B59B3-2E5F-4A8A-987E-4A82C08A3E3C}"/>
    <cellStyle name="Normal 6 10 2 32" xfId="8386" xr:uid="{CEE47770-F45E-4E70-9AF5-76353E7C06F7}"/>
    <cellStyle name="Normal 6 10 2 33" xfId="8387" xr:uid="{2EFF4158-C497-4ED4-91F3-A9393A1FC8F3}"/>
    <cellStyle name="Normal 6 10 2 4" xfId="8388" xr:uid="{05489FEB-C09B-4427-9B4B-46448CFAD038}"/>
    <cellStyle name="Normal 6 10 2 4 10" xfId="8389" xr:uid="{1A633F84-28CA-4BE7-8670-3FC4657B1242}"/>
    <cellStyle name="Normal 6 10 2 4 11" xfId="8390" xr:uid="{B6C37592-5BB1-43D1-95FF-C43B134C8C38}"/>
    <cellStyle name="Normal 6 10 2 4 12" xfId="8391" xr:uid="{CF3C63F4-620D-44F6-A2A2-F7AE7B60AF71}"/>
    <cellStyle name="Normal 6 10 2 4 13" xfId="8392" xr:uid="{A6983B56-8D3C-4F62-9817-B2EB25C66E1D}"/>
    <cellStyle name="Normal 6 10 2 4 14" xfId="8393" xr:uid="{2E1A8828-8017-40CD-9187-9A1A2465CC93}"/>
    <cellStyle name="Normal 6 10 2 4 15" xfId="8394" xr:uid="{DB047645-73E2-461F-B6BA-13DBC5377B43}"/>
    <cellStyle name="Normal 6 10 2 4 16" xfId="8395" xr:uid="{4CD50DFB-6E67-4B1C-80EB-0635C0C03C03}"/>
    <cellStyle name="Normal 6 10 2 4 17" xfId="8396" xr:uid="{ABECE115-5FC5-4C9D-BD64-5E5287009660}"/>
    <cellStyle name="Normal 6 10 2 4 18" xfId="8397" xr:uid="{6A705173-C200-41CC-9877-0364829A0119}"/>
    <cellStyle name="Normal 6 10 2 4 19" xfId="8398" xr:uid="{277745E4-6ADB-4BDA-B973-FDB586569C9E}"/>
    <cellStyle name="Normal 6 10 2 4 2" xfId="8399" xr:uid="{701559BA-0B10-49E4-BFC9-B0B7AADC1774}"/>
    <cellStyle name="Normal 6 10 2 4 20" xfId="8400" xr:uid="{4843AEF6-BC60-431F-A854-174F5D6B4753}"/>
    <cellStyle name="Normal 6 10 2 4 21" xfId="8401" xr:uid="{489EB719-B1B1-4970-B787-7C4063BA3212}"/>
    <cellStyle name="Normal 6 10 2 4 22" xfId="8402" xr:uid="{90ECE5FB-1F87-42BD-B2A0-F3C7C9ADE98C}"/>
    <cellStyle name="Normal 6 10 2 4 23" xfId="8403" xr:uid="{A172FE05-70D3-4EA3-B7A4-D3117D916C71}"/>
    <cellStyle name="Normal 6 10 2 4 24" xfId="8404" xr:uid="{11DC3D0A-E6E5-4771-B1B3-A62510F89D69}"/>
    <cellStyle name="Normal 6 10 2 4 25" xfId="8405" xr:uid="{094A6600-6F29-4D5E-9237-7108BC704B4A}"/>
    <cellStyle name="Normal 6 10 2 4 26" xfId="8406" xr:uid="{BBDE1C93-0522-4EE0-854A-755EE8DD9FDF}"/>
    <cellStyle name="Normal 6 10 2 4 3" xfId="8407" xr:uid="{C0565592-350B-4847-8BE8-426506A558BA}"/>
    <cellStyle name="Normal 6 10 2 4 4" xfId="8408" xr:uid="{DF5BAAA2-8253-4EFA-8105-9A5F98DCBE11}"/>
    <cellStyle name="Normal 6 10 2 4 5" xfId="8409" xr:uid="{6F4BFF00-6F92-44D2-BA69-CC6CF0DB64D6}"/>
    <cellStyle name="Normal 6 10 2 4 6" xfId="8410" xr:uid="{D008D119-7E98-4404-8223-14BBFC015843}"/>
    <cellStyle name="Normal 6 10 2 4 7" xfId="8411" xr:uid="{8280DD82-5BA9-4EF6-B2E0-0271F7E0EFC2}"/>
    <cellStyle name="Normal 6 10 2 4 8" xfId="8412" xr:uid="{628E272C-2FF7-423B-ACBC-1DEE211EE4C1}"/>
    <cellStyle name="Normal 6 10 2 4 9" xfId="8413" xr:uid="{AB5548F0-9173-47C2-8F10-44ADA9AD6603}"/>
    <cellStyle name="Normal 6 10 2 4_Manual Consol" xfId="8414" xr:uid="{ED73C751-8662-4598-B712-CC8670B528F2}"/>
    <cellStyle name="Normal 6 10 2 5" xfId="8415" xr:uid="{3DC46571-125A-4C43-9C75-48BED9B95C4E}"/>
    <cellStyle name="Normal 6 10 2 5 10" xfId="8416" xr:uid="{C846059F-3816-4D02-A729-39CE4B6F503A}"/>
    <cellStyle name="Normal 6 10 2 5 11" xfId="8417" xr:uid="{F1E3A967-97E3-4E21-9B6B-8F2D41095A2D}"/>
    <cellStyle name="Normal 6 10 2 5 12" xfId="8418" xr:uid="{1CC4BDC3-1EC8-4600-85CB-441879CB9F41}"/>
    <cellStyle name="Normal 6 10 2 5 13" xfId="8419" xr:uid="{B12EFB4F-C790-4C12-9BF8-E52B5FB54E96}"/>
    <cellStyle name="Normal 6 10 2 5 14" xfId="8420" xr:uid="{8E851A05-A04A-4ACD-AFBD-C15B6A1F2051}"/>
    <cellStyle name="Normal 6 10 2 5 15" xfId="8421" xr:uid="{6288246B-B4DA-44C5-BB0F-75DD01A27701}"/>
    <cellStyle name="Normal 6 10 2 5 16" xfId="8422" xr:uid="{4858D34F-A62A-4D6D-8D74-33329C20CF75}"/>
    <cellStyle name="Normal 6 10 2 5 17" xfId="8423" xr:uid="{9374AF56-B233-41C6-95BF-167A7C2799AB}"/>
    <cellStyle name="Normal 6 10 2 5 18" xfId="8424" xr:uid="{BCEF42C3-C6E9-40D0-9CDA-C813CAFD3107}"/>
    <cellStyle name="Normal 6 10 2 5 19" xfId="8425" xr:uid="{BF8C7435-0D04-4165-8557-45A70C9F9CC5}"/>
    <cellStyle name="Normal 6 10 2 5 2" xfId="8426" xr:uid="{05DAED71-F42E-4FBE-BCAE-F2368369C7B6}"/>
    <cellStyle name="Normal 6 10 2 5 20" xfId="8427" xr:uid="{88EC5EA6-38EF-4D51-B075-81EA22AD1E22}"/>
    <cellStyle name="Normal 6 10 2 5 21" xfId="8428" xr:uid="{6796D69F-0717-4A96-BCAA-43F42461149B}"/>
    <cellStyle name="Normal 6 10 2 5 22" xfId="8429" xr:uid="{2DF34774-69ED-4DA5-A8EC-73ED87A18760}"/>
    <cellStyle name="Normal 6 10 2 5 23" xfId="8430" xr:uid="{C588AD0E-15ED-47C9-AD84-66636E8C89D4}"/>
    <cellStyle name="Normal 6 10 2 5 24" xfId="8431" xr:uid="{6579141C-7EFE-4DBE-A10E-603A3CA3C127}"/>
    <cellStyle name="Normal 6 10 2 5 25" xfId="8432" xr:uid="{1A0D0789-7EAA-45F6-996C-53304FB86E2F}"/>
    <cellStyle name="Normal 6 10 2 5 26" xfId="8433" xr:uid="{F8B6E0F1-380F-4F4B-9813-413512FA4729}"/>
    <cellStyle name="Normal 6 10 2 5 3" xfId="8434" xr:uid="{2AFB2057-9C2C-4D04-A48C-21644BEC03EE}"/>
    <cellStyle name="Normal 6 10 2 5 4" xfId="8435" xr:uid="{552F14DB-DDE1-424C-8A18-64205620795A}"/>
    <cellStyle name="Normal 6 10 2 5 5" xfId="8436" xr:uid="{7B7CFD64-359A-478C-BC0D-38DE14FCC8E1}"/>
    <cellStyle name="Normal 6 10 2 5 6" xfId="8437" xr:uid="{ADA30701-410F-490F-9BE7-04030D64DF57}"/>
    <cellStyle name="Normal 6 10 2 5 7" xfId="8438" xr:uid="{46A48CDF-C30E-43BA-BC24-1DD3EBEB1F5C}"/>
    <cellStyle name="Normal 6 10 2 5 8" xfId="8439" xr:uid="{DE53D9A9-1775-4747-8724-142B91B099B0}"/>
    <cellStyle name="Normal 6 10 2 5 9" xfId="8440" xr:uid="{AF404FC6-64D3-4C00-B305-C2EEE0D2DAC4}"/>
    <cellStyle name="Normal 6 10 2 5_Manual Consol" xfId="8441" xr:uid="{9BEA8D67-23D7-4224-A692-0165452A3389}"/>
    <cellStyle name="Normal 6 10 2 6" xfId="8442" xr:uid="{174FB507-A11F-4125-9C0A-5C457282FCAF}"/>
    <cellStyle name="Normal 6 10 2 6 10" xfId="8443" xr:uid="{4C116DC4-81A0-4F87-B66A-1049556B61CE}"/>
    <cellStyle name="Normal 6 10 2 6 11" xfId="8444" xr:uid="{2C2D4618-7777-403D-A1B8-A808BE7DFAAA}"/>
    <cellStyle name="Normal 6 10 2 6 12" xfId="8445" xr:uid="{A03B3561-A7B0-4589-9C06-E5C814412342}"/>
    <cellStyle name="Normal 6 10 2 6 13" xfId="8446" xr:uid="{146E7142-CC9C-4FD4-AEBB-BB36202DE628}"/>
    <cellStyle name="Normal 6 10 2 6 14" xfId="8447" xr:uid="{982C574A-80B5-41B3-A021-BDF697961A54}"/>
    <cellStyle name="Normal 6 10 2 6 15" xfId="8448" xr:uid="{880F82AE-5D6D-4B62-8A18-939EDE3DB544}"/>
    <cellStyle name="Normal 6 10 2 6 16" xfId="8449" xr:uid="{61591A7D-1384-48FA-87A5-AC17F47B6071}"/>
    <cellStyle name="Normal 6 10 2 6 17" xfId="8450" xr:uid="{D9D70F21-3727-44EB-AA5C-70F9136FD768}"/>
    <cellStyle name="Normal 6 10 2 6 18" xfId="8451" xr:uid="{D125791C-C29B-4ACA-8EBC-F3B901847566}"/>
    <cellStyle name="Normal 6 10 2 6 19" xfId="8452" xr:uid="{5498116A-6DEC-426A-BB66-18C702578D75}"/>
    <cellStyle name="Normal 6 10 2 6 2" xfId="8453" xr:uid="{93436099-3063-45EF-85D9-2CA073F90FE4}"/>
    <cellStyle name="Normal 6 10 2 6 20" xfId="8454" xr:uid="{32298242-AE60-40EE-BECD-706E8A6773D1}"/>
    <cellStyle name="Normal 6 10 2 6 21" xfId="8455" xr:uid="{03FEB1B1-919F-42E5-B791-9FEBB13CD9E6}"/>
    <cellStyle name="Normal 6 10 2 6 22" xfId="8456" xr:uid="{53961D45-8647-419B-9880-859649C0F82A}"/>
    <cellStyle name="Normal 6 10 2 6 23" xfId="8457" xr:uid="{0EAF1D91-D56D-4AE1-A58C-C54C46E0C8FE}"/>
    <cellStyle name="Normal 6 10 2 6 24" xfId="8458" xr:uid="{A4F7D800-05F7-46CD-8822-24A25C6F17A2}"/>
    <cellStyle name="Normal 6 10 2 6 25" xfId="8459" xr:uid="{9765AD76-7BA0-4FAA-A2F8-D4E19631444C}"/>
    <cellStyle name="Normal 6 10 2 6 26" xfId="8460" xr:uid="{62E132B6-91A0-4CBC-8825-D36F53932858}"/>
    <cellStyle name="Normal 6 10 2 6 3" xfId="8461" xr:uid="{45091834-175D-4DC0-AB0B-A35DFD6D3687}"/>
    <cellStyle name="Normal 6 10 2 6 4" xfId="8462" xr:uid="{C44B56C6-D5F3-4137-99F0-0EF47284136C}"/>
    <cellStyle name="Normal 6 10 2 6 5" xfId="8463" xr:uid="{7FD6A674-6A13-4726-AA03-993CA1A5244A}"/>
    <cellStyle name="Normal 6 10 2 6 6" xfId="8464" xr:uid="{33FDFD08-003E-4770-BC11-471E8DBA6F85}"/>
    <cellStyle name="Normal 6 10 2 6 7" xfId="8465" xr:uid="{7433B8AB-C007-4527-8BCD-FBA5F03D6C27}"/>
    <cellStyle name="Normal 6 10 2 6 8" xfId="8466" xr:uid="{2B320DD2-1F0B-4E91-8206-42D681AAA986}"/>
    <cellStyle name="Normal 6 10 2 6 9" xfId="8467" xr:uid="{5ABB355F-DCE6-4980-84BA-B144674AF664}"/>
    <cellStyle name="Normal 6 10 2 6_Manual Consol" xfId="8468" xr:uid="{2084BBBE-0C11-4B0E-8A1B-ADDE3CD3B76B}"/>
    <cellStyle name="Normal 6 10 2 7" xfId="8469" xr:uid="{D4253B74-3CCE-44A8-B93D-367D63B05D0F}"/>
    <cellStyle name="Normal 6 10 2 7 10" xfId="8470" xr:uid="{F3D29FF8-6D16-4FA8-8610-447C4D06C0EE}"/>
    <cellStyle name="Normal 6 10 2 7 11" xfId="8471" xr:uid="{0293708A-90D0-451E-98AF-619535848C1C}"/>
    <cellStyle name="Normal 6 10 2 7 12" xfId="8472" xr:uid="{9C456986-E08B-4D8E-9AEF-E73268189E48}"/>
    <cellStyle name="Normal 6 10 2 7 13" xfId="8473" xr:uid="{49D056A2-AE6D-4484-93D7-835F7FEFB895}"/>
    <cellStyle name="Normal 6 10 2 7 14" xfId="8474" xr:uid="{EC95A735-ED28-4585-B64E-D182FAA6D0EA}"/>
    <cellStyle name="Normal 6 10 2 7 15" xfId="8475" xr:uid="{C8C1FBC8-E078-49F6-8A9B-CB87FBCA1706}"/>
    <cellStyle name="Normal 6 10 2 7 16" xfId="8476" xr:uid="{FA174BD6-F3BF-43DD-A751-137C796E04DE}"/>
    <cellStyle name="Normal 6 10 2 7 17" xfId="8477" xr:uid="{ED07F2CB-4870-49AE-AC73-6146F7EE5D63}"/>
    <cellStyle name="Normal 6 10 2 7 18" xfId="8478" xr:uid="{346F5B3A-507E-44B4-90B3-00C4AA0D407E}"/>
    <cellStyle name="Normal 6 10 2 7 19" xfId="8479" xr:uid="{6DB9F1ED-1BE7-4449-80A8-4E81BD2FBBA5}"/>
    <cellStyle name="Normal 6 10 2 7 2" xfId="8480" xr:uid="{C08345EB-570C-43C1-AB26-DCB2635AE9F9}"/>
    <cellStyle name="Normal 6 10 2 7 20" xfId="8481" xr:uid="{2B86691C-EBAB-4277-93F7-B7034B0B8CC5}"/>
    <cellStyle name="Normal 6 10 2 7 21" xfId="8482" xr:uid="{5B19A67F-90F9-4A6F-8B1C-4A7F33471D1D}"/>
    <cellStyle name="Normal 6 10 2 7 22" xfId="8483" xr:uid="{401C1BA1-A0CE-4BDF-8A40-8B2DA546A4A1}"/>
    <cellStyle name="Normal 6 10 2 7 23" xfId="8484" xr:uid="{6C43242E-E26D-4DC8-9B66-2106BCC63224}"/>
    <cellStyle name="Normal 6 10 2 7 24" xfId="8485" xr:uid="{AF5F38C9-FC3D-4B16-AB41-DA1B91977487}"/>
    <cellStyle name="Normal 6 10 2 7 25" xfId="8486" xr:uid="{A34CFC5F-5C92-4AB8-8023-A565FA14C83D}"/>
    <cellStyle name="Normal 6 10 2 7 26" xfId="8487" xr:uid="{690ABA51-5ED4-4448-9DA9-3F137852E13D}"/>
    <cellStyle name="Normal 6 10 2 7 3" xfId="8488" xr:uid="{D37D1423-E82F-439C-ADAA-66F763D09881}"/>
    <cellStyle name="Normal 6 10 2 7 4" xfId="8489" xr:uid="{A77C0B47-B7E8-4C3F-B806-23E1B8851263}"/>
    <cellStyle name="Normal 6 10 2 7 5" xfId="8490" xr:uid="{EC3073F4-3FA9-4F94-88BD-9C7AE15D5FA3}"/>
    <cellStyle name="Normal 6 10 2 7 6" xfId="8491" xr:uid="{2D58A4F7-F108-4B5B-87A4-8528DF7BB99D}"/>
    <cellStyle name="Normal 6 10 2 7 7" xfId="8492" xr:uid="{B38EE233-69CD-40F4-9167-F04272218BA7}"/>
    <cellStyle name="Normal 6 10 2 7 8" xfId="8493" xr:uid="{F475426B-2D02-477A-90D2-6EAC3FC7F3C7}"/>
    <cellStyle name="Normal 6 10 2 7 9" xfId="8494" xr:uid="{90DA608F-A6D9-4EF2-A272-B38870FE77A6}"/>
    <cellStyle name="Normal 6 10 2 7_Manual Consol" xfId="8495" xr:uid="{39488175-AA2D-442B-BE82-EADE9481FF67}"/>
    <cellStyle name="Normal 6 10 2 8" xfId="8496" xr:uid="{339E9424-350F-4BAF-B6C2-B106CEEA1912}"/>
    <cellStyle name="Normal 6 10 2 8 10" xfId="8497" xr:uid="{CE61E4F4-F116-411E-B742-73250D16ECDD}"/>
    <cellStyle name="Normal 6 10 2 8 11" xfId="8498" xr:uid="{A742E222-01FB-436C-84BE-28D18DD57BCC}"/>
    <cellStyle name="Normal 6 10 2 8 12" xfId="8499" xr:uid="{CDB0DF56-FE5F-4D95-A37C-23A6C3AFC902}"/>
    <cellStyle name="Normal 6 10 2 8 13" xfId="8500" xr:uid="{96E2082F-9093-4153-8219-8E4C64EB644E}"/>
    <cellStyle name="Normal 6 10 2 8 14" xfId="8501" xr:uid="{45314A41-7CBE-413E-9558-46113621B17A}"/>
    <cellStyle name="Normal 6 10 2 8 15" xfId="8502" xr:uid="{701C0197-7C46-4C8C-8629-4A76CCC7FF5B}"/>
    <cellStyle name="Normal 6 10 2 8 16" xfId="8503" xr:uid="{C168C886-1711-45EE-9978-5C3EEDA3F78D}"/>
    <cellStyle name="Normal 6 10 2 8 17" xfId="8504" xr:uid="{49D5A357-6AD1-497E-9DC9-84B59523BB8C}"/>
    <cellStyle name="Normal 6 10 2 8 18" xfId="8505" xr:uid="{D36BA7C8-6571-4DF3-9A31-739D3D2F4617}"/>
    <cellStyle name="Normal 6 10 2 8 19" xfId="8506" xr:uid="{1AA115BA-04D4-4251-8D43-51894D834823}"/>
    <cellStyle name="Normal 6 10 2 8 2" xfId="8507" xr:uid="{058F0315-5568-4AA8-B4E4-DDEA5ACC21EB}"/>
    <cellStyle name="Normal 6 10 2 8 20" xfId="8508" xr:uid="{4813B48C-C638-4018-B6D4-F5244FB6FE92}"/>
    <cellStyle name="Normal 6 10 2 8 21" xfId="8509" xr:uid="{33CF21C3-63D0-42AC-A795-FC97B02442DB}"/>
    <cellStyle name="Normal 6 10 2 8 22" xfId="8510" xr:uid="{35168B42-36C5-40DD-9A3B-8AC7DD71E2D8}"/>
    <cellStyle name="Normal 6 10 2 8 23" xfId="8511" xr:uid="{AD4CC230-536B-4986-BE63-A7F0DECBA03B}"/>
    <cellStyle name="Normal 6 10 2 8 24" xfId="8512" xr:uid="{A6A3CB62-6DB8-4432-9822-741BAE50C9CD}"/>
    <cellStyle name="Normal 6 10 2 8 25" xfId="8513" xr:uid="{57A53E51-86E2-4D81-B96C-CA264BB66672}"/>
    <cellStyle name="Normal 6 10 2 8 26" xfId="8514" xr:uid="{58685046-707C-4038-8F3D-E084CA2215FB}"/>
    <cellStyle name="Normal 6 10 2 8 3" xfId="8515" xr:uid="{88C0453C-692F-46B0-99F1-37B1B8F7B3CF}"/>
    <cellStyle name="Normal 6 10 2 8 4" xfId="8516" xr:uid="{3680EF56-E7E1-49F3-9A32-377254FA635C}"/>
    <cellStyle name="Normal 6 10 2 8 5" xfId="8517" xr:uid="{623E3B3D-D79D-436D-972A-38EB5A802B8A}"/>
    <cellStyle name="Normal 6 10 2 8 6" xfId="8518" xr:uid="{E7685C2E-09FE-434C-BAF8-46C366ADBE86}"/>
    <cellStyle name="Normal 6 10 2 8 7" xfId="8519" xr:uid="{DAC32F67-6FBD-4E64-9B24-6A51EF7B3336}"/>
    <cellStyle name="Normal 6 10 2 8 8" xfId="8520" xr:uid="{87FA73D1-8A40-4D1B-A28D-0E97F811659D}"/>
    <cellStyle name="Normal 6 10 2 8 9" xfId="8521" xr:uid="{A97D9761-7828-4025-9DE5-5137274D5B45}"/>
    <cellStyle name="Normal 6 10 2 8_Manual Consol" xfId="8522" xr:uid="{E233B2F0-7B2B-43AD-B396-313DDF4C578F}"/>
    <cellStyle name="Normal 6 10 2 9" xfId="8523" xr:uid="{0EBAECEA-FD08-4B22-A2E3-C9DAAB1EEC47}"/>
    <cellStyle name="Normal 6 10 2_Manual Consol" xfId="8524" xr:uid="{038B6D51-CA1F-43B9-BF3C-65890DCB14C7}"/>
    <cellStyle name="Normal 6 10 20" xfId="8525" xr:uid="{AAA15926-65FD-41E5-A2E9-CD2755F7F567}"/>
    <cellStyle name="Normal 6 10 21" xfId="8526" xr:uid="{B1BAA703-7775-41B5-A613-C1877D2B74E6}"/>
    <cellStyle name="Normal 6 10 22" xfId="8527" xr:uid="{004C3E8F-5724-41E5-8444-64BD26B99384}"/>
    <cellStyle name="Normal 6 10 23" xfId="8528" xr:uid="{704D525C-817A-43A6-9696-ACBB8889B914}"/>
    <cellStyle name="Normal 6 10 24" xfId="8529" xr:uid="{6A1EDF17-4547-48FB-A4E6-23C55F025455}"/>
    <cellStyle name="Normal 6 10 25" xfId="8530" xr:uid="{C77AA482-D4EF-46B6-B81C-93F7EE4A4172}"/>
    <cellStyle name="Normal 6 10 26" xfId="8531" xr:uid="{B790FE1E-4848-403D-81F7-14F62D254100}"/>
    <cellStyle name="Normal 6 10 27" xfId="8532" xr:uid="{4498CBF8-CFD9-4D62-BAC7-A2356A80AD43}"/>
    <cellStyle name="Normal 6 10 28" xfId="8533" xr:uid="{71C1E6A7-D9EC-4BE9-87AD-CB46A2CA779A}"/>
    <cellStyle name="Normal 6 10 29" xfId="8534" xr:uid="{28BA435B-C516-4841-A528-7294FBEF6F9C}"/>
    <cellStyle name="Normal 6 10 3" xfId="8535" xr:uid="{F208ABF5-F0B5-4FB1-A103-DD33EB240B11}"/>
    <cellStyle name="Normal 6 10 3 10" xfId="8536" xr:uid="{0D45CD3B-D029-4721-A92D-31F3B6CEB603}"/>
    <cellStyle name="Normal 6 10 3 11" xfId="8537" xr:uid="{EFD3172C-07BA-45DF-9AE4-AF5A342BA2DE}"/>
    <cellStyle name="Normal 6 10 3 12" xfId="8538" xr:uid="{E9137974-0673-4814-BA9C-EE08D0261D3C}"/>
    <cellStyle name="Normal 6 10 3 13" xfId="8539" xr:uid="{305E125F-0E32-40ED-83FF-C0F632D71D52}"/>
    <cellStyle name="Normal 6 10 3 14" xfId="8540" xr:uid="{275B190B-72D3-4B9F-9E20-673DEF421E9C}"/>
    <cellStyle name="Normal 6 10 3 15" xfId="8541" xr:uid="{79B30577-F7ED-4CC5-9F19-C7725B191F96}"/>
    <cellStyle name="Normal 6 10 3 16" xfId="8542" xr:uid="{A0C1C604-6496-48EF-82E0-8EC18D924B06}"/>
    <cellStyle name="Normal 6 10 3 17" xfId="8543" xr:uid="{2A7E07C1-B0B7-485F-8767-F2AE3E3D7549}"/>
    <cellStyle name="Normal 6 10 3 18" xfId="8544" xr:uid="{EBC77B84-0857-4CAA-9D2E-ECFD1E2B1EA7}"/>
    <cellStyle name="Normal 6 10 3 19" xfId="8545" xr:uid="{94EA5706-13A8-42CA-B1BD-452E677108A9}"/>
    <cellStyle name="Normal 6 10 3 2" xfId="8546" xr:uid="{656AB830-B77B-4CB2-AB13-FEBEBA176389}"/>
    <cellStyle name="Normal 6 10 3 2 10" xfId="8547" xr:uid="{53E8EDEA-5A35-4A33-B2E8-683F8A8CBA00}"/>
    <cellStyle name="Normal 6 10 3 2 11" xfId="8548" xr:uid="{EAEF374A-B152-46C6-96B2-5A4A5FC90993}"/>
    <cellStyle name="Normal 6 10 3 2 12" xfId="8549" xr:uid="{82A8877E-610E-4567-A56D-F80E9FA7B6B8}"/>
    <cellStyle name="Normal 6 10 3 2 13" xfId="8550" xr:uid="{0D4CB605-67AA-4F83-9111-F96E16CB5F13}"/>
    <cellStyle name="Normal 6 10 3 2 14" xfId="8551" xr:uid="{73B2E510-522C-4694-AD4A-381D9003E4FB}"/>
    <cellStyle name="Normal 6 10 3 2 15" xfId="8552" xr:uid="{618FBF15-CC20-400A-8CEA-069DFCDAC210}"/>
    <cellStyle name="Normal 6 10 3 2 16" xfId="8553" xr:uid="{E740E7BE-48B0-4B46-9227-06EE0308CBD0}"/>
    <cellStyle name="Normal 6 10 3 2 17" xfId="8554" xr:uid="{D07DAB45-1C30-42E3-8C91-9315B6EBDAAE}"/>
    <cellStyle name="Normal 6 10 3 2 18" xfId="8555" xr:uid="{B4B71904-AFA7-44E4-AF52-1F148C21B83C}"/>
    <cellStyle name="Normal 6 10 3 2 19" xfId="8556" xr:uid="{F92CCB8F-652A-4CBD-83E1-EBFB1AD0FEDE}"/>
    <cellStyle name="Normal 6 10 3 2 2" xfId="8557" xr:uid="{D1EEB794-E01F-4D1A-AD8B-E51A7BFFEDFB}"/>
    <cellStyle name="Normal 6 10 3 2 20" xfId="8558" xr:uid="{0426AF6D-8327-4FB2-8151-5B9B9D04EEF0}"/>
    <cellStyle name="Normal 6 10 3 2 21" xfId="8559" xr:uid="{BA487D9C-F822-464F-960C-898D53BFF1CB}"/>
    <cellStyle name="Normal 6 10 3 2 22" xfId="8560" xr:uid="{902AE8D0-5E16-433A-8908-F34BFED85F34}"/>
    <cellStyle name="Normal 6 10 3 2 23" xfId="8561" xr:uid="{E3E86C1B-056F-4241-A56A-CC6CD0CB8974}"/>
    <cellStyle name="Normal 6 10 3 2 24" xfId="8562" xr:uid="{6BD4BF86-36F1-4E8B-BA7B-26A059B56CAE}"/>
    <cellStyle name="Normal 6 10 3 2 25" xfId="8563" xr:uid="{45C361C9-8600-4200-880C-6BF4D72036F6}"/>
    <cellStyle name="Normal 6 10 3 2 26" xfId="8564" xr:uid="{53773A6C-ADE2-4901-A53D-E5BB3428AEDD}"/>
    <cellStyle name="Normal 6 10 3 2 3" xfId="8565" xr:uid="{EA2C3822-2E51-4BC7-B7C9-66F6F4E7B6ED}"/>
    <cellStyle name="Normal 6 10 3 2 4" xfId="8566" xr:uid="{1CD90E75-A26C-4870-94AB-F0820CA096E2}"/>
    <cellStyle name="Normal 6 10 3 2 5" xfId="8567" xr:uid="{3FAEEA90-1FC4-4340-B5DF-4B1E17F29A16}"/>
    <cellStyle name="Normal 6 10 3 2 6" xfId="8568" xr:uid="{BCAFEE80-EDBC-4B53-8754-0CCA92A4AB20}"/>
    <cellStyle name="Normal 6 10 3 2 7" xfId="8569" xr:uid="{D427C22C-B706-4AA6-B98B-E02E3F714005}"/>
    <cellStyle name="Normal 6 10 3 2 8" xfId="8570" xr:uid="{CA2CD41D-DE0C-4B5F-9A2C-4708A1BD4327}"/>
    <cellStyle name="Normal 6 10 3 2 9" xfId="8571" xr:uid="{62D77DD4-0F11-4222-A1FA-2CA7EEB9D05B}"/>
    <cellStyle name="Normal 6 10 3 2_Manual Consol" xfId="8572" xr:uid="{50D1BB08-F439-4934-B5FA-E1986D701EB2}"/>
    <cellStyle name="Normal 6 10 3 20" xfId="8573" xr:uid="{D65F4619-C22D-4F4A-9B3E-8EBC1B30BDD6}"/>
    <cellStyle name="Normal 6 10 3 21" xfId="8574" xr:uid="{8869501A-FC89-4229-AEAC-453DFE907C5C}"/>
    <cellStyle name="Normal 6 10 3 22" xfId="8575" xr:uid="{BB6BE3DD-95D6-4C49-A10D-26AF6E11630C}"/>
    <cellStyle name="Normal 6 10 3 23" xfId="8576" xr:uid="{D52C4731-C55F-45F4-B7EC-17FB2404C413}"/>
    <cellStyle name="Normal 6 10 3 24" xfId="8577" xr:uid="{E4D83E22-E95F-4D1C-9D6E-C338C3BBDC8C}"/>
    <cellStyle name="Normal 6 10 3 25" xfId="8578" xr:uid="{5C392B43-6CD2-4521-9A8D-9E1389B165EC}"/>
    <cellStyle name="Normal 6 10 3 26" xfId="8579" xr:uid="{493713C5-A0BF-4ACF-B2F8-68D886F69DB2}"/>
    <cellStyle name="Normal 6 10 3 27" xfId="8580" xr:uid="{755DC1E7-AA24-48D5-B9B2-3562569A2612}"/>
    <cellStyle name="Normal 6 10 3 3" xfId="8581" xr:uid="{1F243C35-27FB-44A2-BE56-5BFD807E487E}"/>
    <cellStyle name="Normal 6 10 3 4" xfId="8582" xr:uid="{41A1F9F1-A865-45D0-87D4-17A0FA29A48F}"/>
    <cellStyle name="Normal 6 10 3 5" xfId="8583" xr:uid="{F0CDEBFE-F9F8-4701-A429-F22D1B109FD7}"/>
    <cellStyle name="Normal 6 10 3 6" xfId="8584" xr:uid="{88DB2F93-A449-4692-B442-F012717DFEE7}"/>
    <cellStyle name="Normal 6 10 3 7" xfId="8585" xr:uid="{3EAB58C1-3A88-48C0-A71D-7C9AB42A086D}"/>
    <cellStyle name="Normal 6 10 3 8" xfId="8586" xr:uid="{903850A6-CAEE-4269-8A95-E7BC423626AC}"/>
    <cellStyle name="Normal 6 10 3 9" xfId="8587" xr:uid="{30F66B65-0705-4938-A67F-0B81FF8EF53A}"/>
    <cellStyle name="Normal 6 10 3_Manual Consol" xfId="8588" xr:uid="{C509B97A-4E63-4235-A8DA-BDB46D1FDDE3}"/>
    <cellStyle name="Normal 6 10 30" xfId="8589" xr:uid="{9A632CEA-3904-41CF-BA1A-54675569F932}"/>
    <cellStyle name="Normal 6 10 31" xfId="8590" xr:uid="{73CC5DAA-B3A0-498D-9F7B-7EF1A7DCF9A3}"/>
    <cellStyle name="Normal 6 10 32" xfId="8591" xr:uid="{DC35842F-68A5-42B6-BFB6-298A1480BAF8}"/>
    <cellStyle name="Normal 6 10 33" xfId="8592" xr:uid="{F3580DAC-8622-4568-9AFB-E6A8F6F6E21B}"/>
    <cellStyle name="Normal 6 10 34" xfId="8593" xr:uid="{9B2B988F-F43E-4E37-A751-320A6C2C11D6}"/>
    <cellStyle name="Normal 6 10 35" xfId="8594" xr:uid="{4ACA755B-69A4-4470-B1B7-8591A16C3037}"/>
    <cellStyle name="Normal 6 10 4" xfId="8595" xr:uid="{A6377B61-74B8-4FB4-BE04-BB08F6F314DF}"/>
    <cellStyle name="Normal 6 10 4 10" xfId="8596" xr:uid="{A2058B59-8F54-44C1-9196-FEA67077AE45}"/>
    <cellStyle name="Normal 6 10 4 11" xfId="8597" xr:uid="{055C2B2C-D1EE-453B-922E-8DCEE71ED467}"/>
    <cellStyle name="Normal 6 10 4 12" xfId="8598" xr:uid="{83B65A07-0976-48D3-AA80-FBDA57C960E7}"/>
    <cellStyle name="Normal 6 10 4 13" xfId="8599" xr:uid="{3855C9CB-4673-4C49-8B04-C978A1C0C01C}"/>
    <cellStyle name="Normal 6 10 4 14" xfId="8600" xr:uid="{5725D48E-2752-4B2C-B218-5F3D18E874E0}"/>
    <cellStyle name="Normal 6 10 4 15" xfId="8601" xr:uid="{BB3198CC-726E-477E-9D39-FF8280983694}"/>
    <cellStyle name="Normal 6 10 4 16" xfId="8602" xr:uid="{06914FAC-4BC1-4A34-87D8-7EEC534D3D5C}"/>
    <cellStyle name="Normal 6 10 4 17" xfId="8603" xr:uid="{59046075-C92B-463C-9F0D-A1456F715A9F}"/>
    <cellStyle name="Normal 6 10 4 18" xfId="8604" xr:uid="{D437F733-E498-47F9-B8BB-3207DF7C5665}"/>
    <cellStyle name="Normal 6 10 4 19" xfId="8605" xr:uid="{6CD144F6-9F2E-4A61-A162-E3FDB09EAEE6}"/>
    <cellStyle name="Normal 6 10 4 2" xfId="8606" xr:uid="{808B6627-7C25-43DD-82B6-E369764A8112}"/>
    <cellStyle name="Normal 6 10 4 2 10" xfId="8607" xr:uid="{A9DF3872-4361-4E83-B435-93FEB7B8E942}"/>
    <cellStyle name="Normal 6 10 4 2 11" xfId="8608" xr:uid="{6A03A1E3-E200-4227-B753-FA155860912E}"/>
    <cellStyle name="Normal 6 10 4 2 12" xfId="8609" xr:uid="{20AC6CA3-CC9A-4258-B28A-5AA18B5ECA42}"/>
    <cellStyle name="Normal 6 10 4 2 13" xfId="8610" xr:uid="{2EAB9990-4046-40DF-9FE0-C2BBD7E7D238}"/>
    <cellStyle name="Normal 6 10 4 2 14" xfId="8611" xr:uid="{E7B4B6C3-D4BC-45FF-B1BE-9C76BF5E9C5A}"/>
    <cellStyle name="Normal 6 10 4 2 15" xfId="8612" xr:uid="{769D4A78-5721-4B63-B0A5-283313E5F91A}"/>
    <cellStyle name="Normal 6 10 4 2 16" xfId="8613" xr:uid="{FA4A5866-FC8C-405A-B148-084D1DB30FF6}"/>
    <cellStyle name="Normal 6 10 4 2 17" xfId="8614" xr:uid="{ADF6947D-7D59-4C4D-BA11-68CA28730DB2}"/>
    <cellStyle name="Normal 6 10 4 2 18" xfId="8615" xr:uid="{EC7219BF-A28A-4810-A5F8-41D75100275A}"/>
    <cellStyle name="Normal 6 10 4 2 19" xfId="8616" xr:uid="{CA9966E1-E4E7-4B5E-A924-DE324E9F52EA}"/>
    <cellStyle name="Normal 6 10 4 2 2" xfId="8617" xr:uid="{C033160B-59A1-4A82-8716-82C86D4BF875}"/>
    <cellStyle name="Normal 6 10 4 2 20" xfId="8618" xr:uid="{9B9FEBFC-610A-495C-BF58-5989E6FD156A}"/>
    <cellStyle name="Normal 6 10 4 2 21" xfId="8619" xr:uid="{DF2B994D-9511-46B1-8B7B-3332280ADADC}"/>
    <cellStyle name="Normal 6 10 4 2 22" xfId="8620" xr:uid="{971BC4E8-4CEF-4AFA-AF1D-C46536B1AC95}"/>
    <cellStyle name="Normal 6 10 4 2 23" xfId="8621" xr:uid="{DFCF8608-9712-4112-8A8E-CD300498C38E}"/>
    <cellStyle name="Normal 6 10 4 2 24" xfId="8622" xr:uid="{F3F0CA9E-B77E-4672-9AA2-132F06CB725A}"/>
    <cellStyle name="Normal 6 10 4 2 25" xfId="8623" xr:uid="{417CB65A-76BC-45B0-99C5-5CDD5550D178}"/>
    <cellStyle name="Normal 6 10 4 2 26" xfId="8624" xr:uid="{70E61206-3E8F-457C-93C3-324E69DCFA64}"/>
    <cellStyle name="Normal 6 10 4 2 3" xfId="8625" xr:uid="{E0DB3E02-573D-4583-9EF4-02A4D904B37D}"/>
    <cellStyle name="Normal 6 10 4 2 4" xfId="8626" xr:uid="{77556209-08D3-4495-83E9-F844115D9E55}"/>
    <cellStyle name="Normal 6 10 4 2 5" xfId="8627" xr:uid="{8572D8A1-7E9C-4DE4-8A8C-685902D64B4A}"/>
    <cellStyle name="Normal 6 10 4 2 6" xfId="8628" xr:uid="{29E3A273-05F7-432B-92B4-B72764340DC3}"/>
    <cellStyle name="Normal 6 10 4 2 7" xfId="8629" xr:uid="{846367E2-98AB-4057-A830-18F2E7A328A8}"/>
    <cellStyle name="Normal 6 10 4 2 8" xfId="8630" xr:uid="{CF2ABC7E-E7AE-4248-A0B7-69DDF37E416A}"/>
    <cellStyle name="Normal 6 10 4 2 9" xfId="8631" xr:uid="{F32EAD67-717C-4BFD-9C0B-2838DD01EA2A}"/>
    <cellStyle name="Normal 6 10 4 2_Manual Consol" xfId="8632" xr:uid="{5FCF2D2B-956B-484E-B101-8DF20230BAD3}"/>
    <cellStyle name="Normal 6 10 4 20" xfId="8633" xr:uid="{7D1DC817-5B1A-4A38-A998-14EC37A2AC62}"/>
    <cellStyle name="Normal 6 10 4 21" xfId="8634" xr:uid="{AE5D66F2-D27B-4B05-9405-E64D85308035}"/>
    <cellStyle name="Normal 6 10 4 22" xfId="8635" xr:uid="{F20D6A16-2A20-4E39-88EE-3DC1DDA32323}"/>
    <cellStyle name="Normal 6 10 4 23" xfId="8636" xr:uid="{001D2496-178E-47B7-B883-C6ADB16989A2}"/>
    <cellStyle name="Normal 6 10 4 24" xfId="8637" xr:uid="{E23E2A99-E538-41BB-ACD5-512F187C0D0D}"/>
    <cellStyle name="Normal 6 10 4 25" xfId="8638" xr:uid="{B6477A89-5B8C-4144-BFF1-AE0E24E4B90C}"/>
    <cellStyle name="Normal 6 10 4 26" xfId="8639" xr:uid="{FF645CF4-F74C-4D2E-A505-39E86965016A}"/>
    <cellStyle name="Normal 6 10 4 27" xfId="8640" xr:uid="{5E219FA9-1F78-466B-997E-3B0D6C2D08D5}"/>
    <cellStyle name="Normal 6 10 4 3" xfId="8641" xr:uid="{E86FA097-39DF-4506-BCBB-6441FE5B29BF}"/>
    <cellStyle name="Normal 6 10 4 4" xfId="8642" xr:uid="{6498F68F-4FEC-4FCF-8662-375F94276A8D}"/>
    <cellStyle name="Normal 6 10 4 5" xfId="8643" xr:uid="{387ED4F6-BD9A-4ED1-B8C7-CED66929CD81}"/>
    <cellStyle name="Normal 6 10 4 6" xfId="8644" xr:uid="{51DA6FAD-6D06-40BF-B609-96C3659ED5B7}"/>
    <cellStyle name="Normal 6 10 4 7" xfId="8645" xr:uid="{48786D06-9307-46B4-AE9F-5F28304E58FF}"/>
    <cellStyle name="Normal 6 10 4 8" xfId="8646" xr:uid="{9C580C32-2EB8-4B08-B0C8-DA7F0AFBAB11}"/>
    <cellStyle name="Normal 6 10 4 9" xfId="8647" xr:uid="{EFA77683-B959-47FE-B394-CD7B3FB807A6}"/>
    <cellStyle name="Normal 6 10 4_Manual Consol" xfId="8648" xr:uid="{AB0FBEE9-8290-4503-87C0-F49CB88C0D65}"/>
    <cellStyle name="Normal 6 10 5" xfId="8649" xr:uid="{A426CD0A-7EF5-4F99-AC9A-085D8F7BB184}"/>
    <cellStyle name="Normal 6 10 5 10" xfId="8650" xr:uid="{24D975AD-0257-4FB7-B92A-F4FC76F35D43}"/>
    <cellStyle name="Normal 6 10 5 11" xfId="8651" xr:uid="{C6B03F1A-FDB4-4369-B42D-0F1DC8415D55}"/>
    <cellStyle name="Normal 6 10 5 12" xfId="8652" xr:uid="{A3C8F04C-687B-43A2-A06B-CFD570C2296B}"/>
    <cellStyle name="Normal 6 10 5 13" xfId="8653" xr:uid="{EB4BD643-05AD-464E-933A-6F01C5FFDEE2}"/>
    <cellStyle name="Normal 6 10 5 14" xfId="8654" xr:uid="{988D1638-DF2C-49CC-9638-5B65CBFE3ABD}"/>
    <cellStyle name="Normal 6 10 5 15" xfId="8655" xr:uid="{27CF2C7C-FBD8-41E2-8F1F-25F0B5F55267}"/>
    <cellStyle name="Normal 6 10 5 16" xfId="8656" xr:uid="{1845A20E-BBA1-4ECB-BE2B-9B6387B1AC81}"/>
    <cellStyle name="Normal 6 10 5 17" xfId="8657" xr:uid="{D13AA95C-92D5-4850-B10E-07E79AC91188}"/>
    <cellStyle name="Normal 6 10 5 18" xfId="8658" xr:uid="{D622019C-4427-4DBF-BE3B-65F7B228AC69}"/>
    <cellStyle name="Normal 6 10 5 19" xfId="8659" xr:uid="{D55A312E-DA54-493B-9D4A-1A73CDB20D8A}"/>
    <cellStyle name="Normal 6 10 5 2" xfId="8660" xr:uid="{695F37C9-61D5-474F-ADA3-2D4ECD0164E7}"/>
    <cellStyle name="Normal 6 10 5 20" xfId="8661" xr:uid="{BD5B0A6E-B13A-4F22-93AC-02A983CDAD89}"/>
    <cellStyle name="Normal 6 10 5 21" xfId="8662" xr:uid="{535C7D96-4FCD-4D61-B75D-E2CB5BDC8EA9}"/>
    <cellStyle name="Normal 6 10 5 22" xfId="8663" xr:uid="{221FBE20-23C7-4BDB-9473-4574E0F38262}"/>
    <cellStyle name="Normal 6 10 5 23" xfId="8664" xr:uid="{F2C91709-F39B-46E7-9C0E-C216603235A6}"/>
    <cellStyle name="Normal 6 10 5 24" xfId="8665" xr:uid="{47695B21-32BF-4106-AAB8-31F98F0DB78A}"/>
    <cellStyle name="Normal 6 10 5 25" xfId="8666" xr:uid="{E7B44EAF-2455-4BCF-9729-94E3C2CCED6E}"/>
    <cellStyle name="Normal 6 10 5 26" xfId="8667" xr:uid="{D2841F2C-19AB-479D-83E3-9DFC404EB9CE}"/>
    <cellStyle name="Normal 6 10 5 3" xfId="8668" xr:uid="{0000FB75-6638-4073-9032-77003079261C}"/>
    <cellStyle name="Normal 6 10 5 4" xfId="8669" xr:uid="{5A2B683F-C136-4DE4-B0C2-EA9B158C448A}"/>
    <cellStyle name="Normal 6 10 5 5" xfId="8670" xr:uid="{5F4BC966-7A82-412D-B77B-E3FF48C82B6C}"/>
    <cellStyle name="Normal 6 10 5 6" xfId="8671" xr:uid="{2EBB2A21-A891-4963-9728-3165D908F11C}"/>
    <cellStyle name="Normal 6 10 5 7" xfId="8672" xr:uid="{B494A9D9-F301-4AC5-AC60-B163ED1F3960}"/>
    <cellStyle name="Normal 6 10 5 8" xfId="8673" xr:uid="{E834F5E7-4492-42A0-B64D-BE13AA847D9F}"/>
    <cellStyle name="Normal 6 10 5 9" xfId="8674" xr:uid="{A99E87AE-B8C0-4E5C-9100-B9A21C97BA74}"/>
    <cellStyle name="Normal 6 10 5_Manual Consol" xfId="8675" xr:uid="{3F9646B1-9AD3-4C84-AA87-67CD89029534}"/>
    <cellStyle name="Normal 6 10 6" xfId="8676" xr:uid="{055E09A8-5BDB-4ACA-B50E-DF353DB57881}"/>
    <cellStyle name="Normal 6 10 6 10" xfId="8677" xr:uid="{A58700E3-0B59-4881-ACD7-6B80854BB646}"/>
    <cellStyle name="Normal 6 10 6 11" xfId="8678" xr:uid="{A8DFBE0B-D7C2-4D2F-885F-651564E24FBC}"/>
    <cellStyle name="Normal 6 10 6 12" xfId="8679" xr:uid="{15EF2B75-0C5E-47D5-8359-CDCD29A86D82}"/>
    <cellStyle name="Normal 6 10 6 13" xfId="8680" xr:uid="{26A89A9D-EBF5-4913-97D8-FDF472049EA3}"/>
    <cellStyle name="Normal 6 10 6 14" xfId="8681" xr:uid="{BE1CC661-231A-4B5A-BD30-8E8AA83AF6FE}"/>
    <cellStyle name="Normal 6 10 6 15" xfId="8682" xr:uid="{A0A0A139-B323-4F32-88AA-DBFB36D961C1}"/>
    <cellStyle name="Normal 6 10 6 16" xfId="8683" xr:uid="{70E5F2DB-486D-4A4E-B993-15639CD58A13}"/>
    <cellStyle name="Normal 6 10 6 17" xfId="8684" xr:uid="{B5CF527D-937E-425D-9A07-364D4D7FDE11}"/>
    <cellStyle name="Normal 6 10 6 18" xfId="8685" xr:uid="{C14F7A47-79EC-4A14-B9F7-04046967058D}"/>
    <cellStyle name="Normal 6 10 6 19" xfId="8686" xr:uid="{7AB2805E-285A-478E-92A8-E93A61F89C61}"/>
    <cellStyle name="Normal 6 10 6 2" xfId="8687" xr:uid="{BB39C92F-76FF-4470-BC26-49714B4024A2}"/>
    <cellStyle name="Normal 6 10 6 20" xfId="8688" xr:uid="{CB68375E-E4EB-411F-9CBF-044E7D006341}"/>
    <cellStyle name="Normal 6 10 6 21" xfId="8689" xr:uid="{0C0710CE-22C5-4561-A418-37BD197BF83C}"/>
    <cellStyle name="Normal 6 10 6 22" xfId="8690" xr:uid="{5A386B66-5244-454F-B7A4-12D60D28C434}"/>
    <cellStyle name="Normal 6 10 6 23" xfId="8691" xr:uid="{B3133CC4-2379-4168-995D-64BCB08487AF}"/>
    <cellStyle name="Normal 6 10 6 24" xfId="8692" xr:uid="{27FD39FA-FE43-472D-9928-4605DD81C6C7}"/>
    <cellStyle name="Normal 6 10 6 25" xfId="8693" xr:uid="{C48282D6-AD29-4DCE-8F05-EF287AB8AF7F}"/>
    <cellStyle name="Normal 6 10 6 26" xfId="8694" xr:uid="{8C714766-FD36-4154-BC37-B9C743B92007}"/>
    <cellStyle name="Normal 6 10 6 3" xfId="8695" xr:uid="{8FF4B266-A81C-4237-BDC0-9D52C4B05446}"/>
    <cellStyle name="Normal 6 10 6 4" xfId="8696" xr:uid="{A7A5ED35-9273-4408-9EB2-A57086F28D41}"/>
    <cellStyle name="Normal 6 10 6 5" xfId="8697" xr:uid="{C661BE4A-72FA-415C-BD64-41083E0F0C38}"/>
    <cellStyle name="Normal 6 10 6 6" xfId="8698" xr:uid="{43132FB8-7C00-4940-AD70-74E95E8E4B75}"/>
    <cellStyle name="Normal 6 10 6 7" xfId="8699" xr:uid="{CECF0532-F05D-445B-ADC0-68B5F8E2A89D}"/>
    <cellStyle name="Normal 6 10 6 8" xfId="8700" xr:uid="{2D0B15CD-7AF3-4E1D-88B3-DE0E7948C417}"/>
    <cellStyle name="Normal 6 10 6 9" xfId="8701" xr:uid="{13F91014-4C51-48B7-80A2-D319CE2A56A5}"/>
    <cellStyle name="Normal 6 10 6_Manual Consol" xfId="8702" xr:uid="{158C1EA5-6525-410C-8AC2-40AFB5A964A5}"/>
    <cellStyle name="Normal 6 10 7" xfId="8703" xr:uid="{3CB7CE3C-5767-4AE9-BD37-FAEF4DF0348D}"/>
    <cellStyle name="Normal 6 10 7 10" xfId="8704" xr:uid="{106BCDC0-F9AD-4900-AB1E-B00A37370855}"/>
    <cellStyle name="Normal 6 10 7 11" xfId="8705" xr:uid="{C4267D43-CE46-48FD-8ED8-A0D081EF3AAC}"/>
    <cellStyle name="Normal 6 10 7 12" xfId="8706" xr:uid="{C38F836F-89F0-4A41-BC31-33128D7D442B}"/>
    <cellStyle name="Normal 6 10 7 13" xfId="8707" xr:uid="{5025E13B-81C1-494F-BC26-4891844A12C8}"/>
    <cellStyle name="Normal 6 10 7 14" xfId="8708" xr:uid="{F16CD507-3BAC-45A0-A606-4D9046A8B95C}"/>
    <cellStyle name="Normal 6 10 7 15" xfId="8709" xr:uid="{57767E35-1612-48D3-8EB1-E65CC16A2FD5}"/>
    <cellStyle name="Normal 6 10 7 16" xfId="8710" xr:uid="{3C837C66-054E-4BD6-8599-B5C129A99B8B}"/>
    <cellStyle name="Normal 6 10 7 17" xfId="8711" xr:uid="{147072CC-11A2-435B-89FA-B02FCD95096C}"/>
    <cellStyle name="Normal 6 10 7 18" xfId="8712" xr:uid="{F4751BA7-05C3-44F3-AA12-C905D96ED1BC}"/>
    <cellStyle name="Normal 6 10 7 19" xfId="8713" xr:uid="{E6CA129F-9E5D-4C3D-9D29-2A0114547924}"/>
    <cellStyle name="Normal 6 10 7 2" xfId="8714" xr:uid="{D963B828-2176-47A4-B922-07A0F3B928A2}"/>
    <cellStyle name="Normal 6 10 7 20" xfId="8715" xr:uid="{6D8DF241-905F-415B-9B9D-3B3CF705DA8B}"/>
    <cellStyle name="Normal 6 10 7 21" xfId="8716" xr:uid="{E6949A1F-17D4-47F5-9A9C-49936FF29B90}"/>
    <cellStyle name="Normal 6 10 7 22" xfId="8717" xr:uid="{5FEF220A-D28B-43C4-8209-603D9A816B02}"/>
    <cellStyle name="Normal 6 10 7 23" xfId="8718" xr:uid="{9A4D0FED-8028-44D6-97D5-80069393F874}"/>
    <cellStyle name="Normal 6 10 7 24" xfId="8719" xr:uid="{CF626C8F-434F-4777-A207-284ABF24113B}"/>
    <cellStyle name="Normal 6 10 7 25" xfId="8720" xr:uid="{7A9C1F5F-D2B6-4A81-9CD2-B237D340D312}"/>
    <cellStyle name="Normal 6 10 7 26" xfId="8721" xr:uid="{175C5A7A-907F-41FC-8D8E-4228A9036DD6}"/>
    <cellStyle name="Normal 6 10 7 3" xfId="8722" xr:uid="{5DC0076F-238C-4810-90F5-3BA3C827A4C9}"/>
    <cellStyle name="Normal 6 10 7 4" xfId="8723" xr:uid="{6D6BDF2E-065A-4085-B1E5-30D19FBA93A1}"/>
    <cellStyle name="Normal 6 10 7 5" xfId="8724" xr:uid="{A9EF412E-2A2D-4A7B-9BC5-17171A8D2F96}"/>
    <cellStyle name="Normal 6 10 7 6" xfId="8725" xr:uid="{92134934-75E3-4CFB-A5D9-A1D2C62FA053}"/>
    <cellStyle name="Normal 6 10 7 7" xfId="8726" xr:uid="{B95E1D64-2707-4895-9BA0-29702B507919}"/>
    <cellStyle name="Normal 6 10 7 8" xfId="8727" xr:uid="{9027FA40-152A-4E6F-B88A-EE37299545AF}"/>
    <cellStyle name="Normal 6 10 7 9" xfId="8728" xr:uid="{7F8BBF22-FEF4-4A83-BFE8-4E5FEE956C87}"/>
    <cellStyle name="Normal 6 10 7_Manual Consol" xfId="8729" xr:uid="{2FE70B9B-4ED0-4D6B-954A-D815C9E7A9A6}"/>
    <cellStyle name="Normal 6 10 8" xfId="8730" xr:uid="{21D134BB-442A-4A37-97C8-EDEA140F5DB7}"/>
    <cellStyle name="Normal 6 10 8 10" xfId="8731" xr:uid="{B666D2EB-42FC-478C-8385-AE63C8B9C95E}"/>
    <cellStyle name="Normal 6 10 8 11" xfId="8732" xr:uid="{B96FC321-DC89-43AC-94EC-E57CC1300C09}"/>
    <cellStyle name="Normal 6 10 8 12" xfId="8733" xr:uid="{32E6FD3B-2BB0-4380-B087-344CC0FD96F3}"/>
    <cellStyle name="Normal 6 10 8 13" xfId="8734" xr:uid="{6D32AC7E-0883-43B0-BC27-4879212ACB87}"/>
    <cellStyle name="Normal 6 10 8 14" xfId="8735" xr:uid="{7118BF88-BF64-4497-B1D5-02DD54731CF0}"/>
    <cellStyle name="Normal 6 10 8 15" xfId="8736" xr:uid="{F4930F6E-A17C-4AD3-B19A-75EB1B0A5850}"/>
    <cellStyle name="Normal 6 10 8 16" xfId="8737" xr:uid="{FCE1AC7B-CE15-4F63-B1E0-0D7E2582E3AA}"/>
    <cellStyle name="Normal 6 10 8 17" xfId="8738" xr:uid="{53FFF6D8-79DE-4EA9-98DA-DF369DBFB7C8}"/>
    <cellStyle name="Normal 6 10 8 18" xfId="8739" xr:uid="{4ECF4F41-E3A3-45D2-9016-E651A49B18AE}"/>
    <cellStyle name="Normal 6 10 8 19" xfId="8740" xr:uid="{4B308ECB-99E3-4EC3-AD0A-88F45D7EBCEE}"/>
    <cellStyle name="Normal 6 10 8 2" xfId="8741" xr:uid="{0833398B-9A42-4924-B5F9-1A31DFD98FDC}"/>
    <cellStyle name="Normal 6 10 8 20" xfId="8742" xr:uid="{BC9A2037-C5B2-4FA3-8B3E-48D2DC35C49F}"/>
    <cellStyle name="Normal 6 10 8 21" xfId="8743" xr:uid="{6CE14D1D-046F-456C-92EF-2A8463023AB5}"/>
    <cellStyle name="Normal 6 10 8 22" xfId="8744" xr:uid="{82AD9E1C-88EE-451B-8D14-97784DDF0A05}"/>
    <cellStyle name="Normal 6 10 8 23" xfId="8745" xr:uid="{60D00461-4C27-44BE-A2A9-715F00C458D4}"/>
    <cellStyle name="Normal 6 10 8 24" xfId="8746" xr:uid="{6E2F2A69-9173-4A76-90B8-9680DE545F34}"/>
    <cellStyle name="Normal 6 10 8 25" xfId="8747" xr:uid="{BCF08262-ED09-4F94-9942-B1998B35051B}"/>
    <cellStyle name="Normal 6 10 8 26" xfId="8748" xr:uid="{A754C4E0-8979-46C0-B2EC-9C3856095C50}"/>
    <cellStyle name="Normal 6 10 8 3" xfId="8749" xr:uid="{1CDD9FC9-B576-41A9-827B-09817317CBAD}"/>
    <cellStyle name="Normal 6 10 8 4" xfId="8750" xr:uid="{02D4F704-35AB-46D8-A18F-1665DF8741D0}"/>
    <cellStyle name="Normal 6 10 8 5" xfId="8751" xr:uid="{AC332CC3-C581-4F9E-9DA8-107CA3E0FBB0}"/>
    <cellStyle name="Normal 6 10 8 6" xfId="8752" xr:uid="{3DA19796-6E2B-4E59-83C0-73F24BDFF17F}"/>
    <cellStyle name="Normal 6 10 8 7" xfId="8753" xr:uid="{728530EB-7D85-4BFF-8A09-B8B863903BF8}"/>
    <cellStyle name="Normal 6 10 8 8" xfId="8754" xr:uid="{3247898A-9395-41B8-AB4D-25F439166829}"/>
    <cellStyle name="Normal 6 10 8 9" xfId="8755" xr:uid="{D580BCA6-53FA-4121-98BF-23ABDC1D53D4}"/>
    <cellStyle name="Normal 6 10 8_Manual Consol" xfId="8756" xr:uid="{2693A593-948D-4275-A6C1-705FE4C4765F}"/>
    <cellStyle name="Normal 6 10 9" xfId="8757" xr:uid="{17B165EC-694C-4AB6-A057-293879EF4B31}"/>
    <cellStyle name="Normal 6 10 9 10" xfId="8758" xr:uid="{F9371F84-12A0-44FF-A3BD-8B64BF5DAB52}"/>
    <cellStyle name="Normal 6 10 9 11" xfId="8759" xr:uid="{C26AEC16-CD12-4D83-9B71-8015C33B2760}"/>
    <cellStyle name="Normal 6 10 9 12" xfId="8760" xr:uid="{B3C1ECF3-720A-4129-9619-D15C05184254}"/>
    <cellStyle name="Normal 6 10 9 13" xfId="8761" xr:uid="{CF7C3797-B29C-4A3E-A53F-56370F5338F6}"/>
    <cellStyle name="Normal 6 10 9 14" xfId="8762" xr:uid="{A761FE2E-9E14-4B54-841E-DDF8D61395CD}"/>
    <cellStyle name="Normal 6 10 9 15" xfId="8763" xr:uid="{72E618A2-FE7F-42F3-8419-0270CFE90B74}"/>
    <cellStyle name="Normal 6 10 9 16" xfId="8764" xr:uid="{B067A4A1-D12D-4B4C-8F9A-F61952A396E9}"/>
    <cellStyle name="Normal 6 10 9 17" xfId="8765" xr:uid="{FE857A57-B4AD-457D-AD7B-92CD8C19D131}"/>
    <cellStyle name="Normal 6 10 9 18" xfId="8766" xr:uid="{7458B54C-DF99-4800-82FC-A866C6EA5311}"/>
    <cellStyle name="Normal 6 10 9 19" xfId="8767" xr:uid="{B6042C6C-16AA-44B9-9198-6CEDBF75E07C}"/>
    <cellStyle name="Normal 6 10 9 2" xfId="8768" xr:uid="{7EAEB307-3B1F-45B2-B4DB-4EF167BFD451}"/>
    <cellStyle name="Normal 6 10 9 20" xfId="8769" xr:uid="{F74C83C1-DCCE-4E01-B7DC-3A47F5FEBF7F}"/>
    <cellStyle name="Normal 6 10 9 21" xfId="8770" xr:uid="{7F219CB7-B057-43BE-97F9-C998E97B9273}"/>
    <cellStyle name="Normal 6 10 9 22" xfId="8771" xr:uid="{67125791-5A13-448A-AE98-B8975ED3EECD}"/>
    <cellStyle name="Normal 6 10 9 23" xfId="8772" xr:uid="{280C5F9D-FCB9-4472-A559-0E0A4242D077}"/>
    <cellStyle name="Normal 6 10 9 24" xfId="8773" xr:uid="{878FEB4E-EF07-4478-BE6B-B57E4C9F98FD}"/>
    <cellStyle name="Normal 6 10 9 25" xfId="8774" xr:uid="{7AC9C479-00E5-4966-8EA4-9AB03308841A}"/>
    <cellStyle name="Normal 6 10 9 26" xfId="8775" xr:uid="{835F02C6-F04C-4B21-9FCB-3DC7126319E3}"/>
    <cellStyle name="Normal 6 10 9 3" xfId="8776" xr:uid="{E6323E1D-FE65-4FB2-A243-74A9105008DE}"/>
    <cellStyle name="Normal 6 10 9 4" xfId="8777" xr:uid="{7864B1C6-E3F9-4DA9-B632-CA2C6590E7C4}"/>
    <cellStyle name="Normal 6 10 9 5" xfId="8778" xr:uid="{37898085-25EA-4743-9CD0-1963621A4BA8}"/>
    <cellStyle name="Normal 6 10 9 6" xfId="8779" xr:uid="{8B6264A1-029F-4766-97D8-033B2D68D2A8}"/>
    <cellStyle name="Normal 6 10 9 7" xfId="8780" xr:uid="{008075A9-46D5-488E-8E3C-8A9D2C932330}"/>
    <cellStyle name="Normal 6 10 9 8" xfId="8781" xr:uid="{EBE6CE44-0B24-4AA4-B970-52A29ADFB38E}"/>
    <cellStyle name="Normal 6 10 9 9" xfId="8782" xr:uid="{80132324-D8A0-4040-93B6-177365D0879E}"/>
    <cellStyle name="Normal 6 10 9_Manual Consol" xfId="8783" xr:uid="{12E26B8F-6E2D-4CAF-A2EC-9F904A3A3CCE}"/>
    <cellStyle name="Normal 6 10_Adjusted bridges" xfId="11119" xr:uid="{731DF335-7C9B-42CB-9304-D22EA035BAD5}"/>
    <cellStyle name="Normal 6 11" xfId="4380" xr:uid="{00000000-0005-0000-0000-000080110000}"/>
    <cellStyle name="Normal 6 11 10" xfId="8784" xr:uid="{3E615AAD-030D-40C4-8290-CF468419AF2A}"/>
    <cellStyle name="Normal 6 11 10 10" xfId="8785" xr:uid="{B294951A-9325-4081-8FCA-A8C29619D4D2}"/>
    <cellStyle name="Normal 6 11 10 11" xfId="8786" xr:uid="{7159914D-AA2B-4FE3-8E99-6A6680EAF1E5}"/>
    <cellStyle name="Normal 6 11 10 12" xfId="8787" xr:uid="{A057F75C-25BF-4B08-A615-3A5C6834D25E}"/>
    <cellStyle name="Normal 6 11 10 13" xfId="8788" xr:uid="{FEA3348E-7303-4E86-8B7D-224D13BA95DB}"/>
    <cellStyle name="Normal 6 11 10 14" xfId="8789" xr:uid="{D1C582A5-1589-45A2-A383-F974885B5C98}"/>
    <cellStyle name="Normal 6 11 10 15" xfId="8790" xr:uid="{A1C2F4E5-7827-48DF-9EBF-821452F9A93E}"/>
    <cellStyle name="Normal 6 11 10 16" xfId="8791" xr:uid="{0DD05365-0662-486E-83E0-16D4C92AB5D9}"/>
    <cellStyle name="Normal 6 11 10 17" xfId="8792" xr:uid="{60F8D990-3972-4D9A-907F-BA6F9EF80AC6}"/>
    <cellStyle name="Normal 6 11 10 18" xfId="8793" xr:uid="{144DD640-BBF5-43FE-A3FC-9621AE6A2496}"/>
    <cellStyle name="Normal 6 11 10 19" xfId="8794" xr:uid="{C2398C0D-326E-46CB-83DB-FEB141C17FC4}"/>
    <cellStyle name="Normal 6 11 10 2" xfId="8795" xr:uid="{820CC730-87FC-4859-A6AF-1566CD8CC481}"/>
    <cellStyle name="Normal 6 11 10 20" xfId="8796" xr:uid="{11F1DB41-056D-4605-9C89-C9D500B8B7D5}"/>
    <cellStyle name="Normal 6 11 10 21" xfId="8797" xr:uid="{B7E243A0-0D74-4226-A552-C49715D0DEAA}"/>
    <cellStyle name="Normal 6 11 10 22" xfId="8798" xr:uid="{F6EAE087-4DD3-4FEF-B935-A70A627B475A}"/>
    <cellStyle name="Normal 6 11 10 23" xfId="8799" xr:uid="{1D7C9A16-F33A-45EA-A322-2DEAA479A33A}"/>
    <cellStyle name="Normal 6 11 10 24" xfId="8800" xr:uid="{8AF285EC-2B51-4C12-8C2E-87ADFD4C0C00}"/>
    <cellStyle name="Normal 6 11 10 25" xfId="8801" xr:uid="{2FB44C52-0A07-4428-9690-5D45FFAEE013}"/>
    <cellStyle name="Normal 6 11 10 26" xfId="8802" xr:uid="{32FFCBFE-9667-45BC-B53A-490A4623CDDF}"/>
    <cellStyle name="Normal 6 11 10 3" xfId="8803" xr:uid="{B22174F7-13AC-4EAB-A3DB-C1746A089269}"/>
    <cellStyle name="Normal 6 11 10 4" xfId="8804" xr:uid="{26F1F239-FD98-4E20-9302-33C3B0A2CEBC}"/>
    <cellStyle name="Normal 6 11 10 5" xfId="8805" xr:uid="{A18BBEE1-6FA3-4320-B2FA-A90D1D1716AB}"/>
    <cellStyle name="Normal 6 11 10 6" xfId="8806" xr:uid="{D482587C-47DD-4AE7-86EC-48499BA52966}"/>
    <cellStyle name="Normal 6 11 10 7" xfId="8807" xr:uid="{23F8440D-1F19-48E0-BB2F-CD47FF0F0EBF}"/>
    <cellStyle name="Normal 6 11 10 8" xfId="8808" xr:uid="{85FFE6FB-7043-4DD0-977C-BE83DCD9AC5C}"/>
    <cellStyle name="Normal 6 11 10 9" xfId="8809" xr:uid="{16A9C666-8F64-4E6C-90CE-2EFCC1C326D5}"/>
    <cellStyle name="Normal 6 11 10_Manual Consol" xfId="8810" xr:uid="{EF5D091D-38A4-4B7A-A23D-68DC1B136EEA}"/>
    <cellStyle name="Normal 6 11 11" xfId="8811" xr:uid="{1370D379-D828-4A96-B6FA-C6BBECC55D32}"/>
    <cellStyle name="Normal 6 11 12" xfId="8812" xr:uid="{DD339B84-DC09-4001-B3B7-ABF694B7FA51}"/>
    <cellStyle name="Normal 6 11 13" xfId="8813" xr:uid="{6078EC7B-8D36-49AA-AE65-7EC5C335AC47}"/>
    <cellStyle name="Normal 6 11 14" xfId="8814" xr:uid="{69C2473D-8DCB-40C0-969D-4FA5EFA267B5}"/>
    <cellStyle name="Normal 6 11 15" xfId="8815" xr:uid="{2EB5FFFF-CE5F-4CB2-8552-6A0133D38CBC}"/>
    <cellStyle name="Normal 6 11 16" xfId="8816" xr:uid="{A7A9A4BC-65C3-4D5E-85A0-A5E923AEBBFE}"/>
    <cellStyle name="Normal 6 11 17" xfId="8817" xr:uid="{6FEDF3D6-08A4-4C90-ABF0-7F5ECD3D08DC}"/>
    <cellStyle name="Normal 6 11 18" xfId="8818" xr:uid="{C8879E28-9262-47D4-8CD5-F9F749C60316}"/>
    <cellStyle name="Normal 6 11 19" xfId="8819" xr:uid="{18A3EB24-5717-448E-81D6-4EBB2799BD27}"/>
    <cellStyle name="Normal 6 11 2" xfId="8820" xr:uid="{6D2AC50A-DE3B-4B96-91DA-05491F347DCC}"/>
    <cellStyle name="Normal 6 11 2 10" xfId="8821" xr:uid="{F5508511-CB8C-4152-947D-CE59B74EFAE1}"/>
    <cellStyle name="Normal 6 11 2 11" xfId="8822" xr:uid="{A7984A9D-12BC-40A7-A665-AF6DDF1A7FA8}"/>
    <cellStyle name="Normal 6 11 2 12" xfId="8823" xr:uid="{465318BA-23C1-4927-AB66-24FF770F745E}"/>
    <cellStyle name="Normal 6 11 2 13" xfId="8824" xr:uid="{DC603803-96E5-4226-BCED-4F9D111C1147}"/>
    <cellStyle name="Normal 6 11 2 14" xfId="8825" xr:uid="{B70FFF4F-BB7F-4116-9A70-24B4CC14C822}"/>
    <cellStyle name="Normal 6 11 2 15" xfId="8826" xr:uid="{751FB028-8691-43FF-8C47-47B3E9B844BF}"/>
    <cellStyle name="Normal 6 11 2 16" xfId="8827" xr:uid="{AFB84154-1BD2-45C8-AF78-84F88CEC061F}"/>
    <cellStyle name="Normal 6 11 2 17" xfId="8828" xr:uid="{44377F9B-9004-4768-B520-765913E4D329}"/>
    <cellStyle name="Normal 6 11 2 18" xfId="8829" xr:uid="{AF537D87-4A94-419E-9802-981BA4532E68}"/>
    <cellStyle name="Normal 6 11 2 19" xfId="8830" xr:uid="{47CFFDCE-92BF-4F2D-88A6-E13180CAF40A}"/>
    <cellStyle name="Normal 6 11 2 2" xfId="8831" xr:uid="{A03B2F22-D55B-435C-B488-5EBC26842A6F}"/>
    <cellStyle name="Normal 6 11 2 2 10" xfId="8832" xr:uid="{3CC0B011-B6BA-4DDD-B374-78807D28B9C7}"/>
    <cellStyle name="Normal 6 11 2 2 11" xfId="8833" xr:uid="{63423CD5-AEC2-43F6-89FD-E1AEBAC74C3A}"/>
    <cellStyle name="Normal 6 11 2 2 12" xfId="8834" xr:uid="{3C45C257-E5BE-4BC2-94DE-A9CF3C7338E7}"/>
    <cellStyle name="Normal 6 11 2 2 13" xfId="8835" xr:uid="{6C797D9B-C128-4C4A-824E-17F1D7238B5D}"/>
    <cellStyle name="Normal 6 11 2 2 14" xfId="8836" xr:uid="{E926AAC6-B4ED-456D-BBE5-61AA05742ACB}"/>
    <cellStyle name="Normal 6 11 2 2 15" xfId="8837" xr:uid="{B2110CDB-9821-48E4-8A03-06350BB420D5}"/>
    <cellStyle name="Normal 6 11 2 2 16" xfId="8838" xr:uid="{5A128F58-2114-4CFF-B4EA-DEFAB48BAB55}"/>
    <cellStyle name="Normal 6 11 2 2 17" xfId="8839" xr:uid="{7F43E10F-527C-4376-A0FF-3E771ACEB17C}"/>
    <cellStyle name="Normal 6 11 2 2 18" xfId="8840" xr:uid="{E763AB98-BFEF-4CF7-8470-C253091E55FB}"/>
    <cellStyle name="Normal 6 11 2 2 19" xfId="8841" xr:uid="{C29484AC-234D-45AC-90E6-51097CDF56F8}"/>
    <cellStyle name="Normal 6 11 2 2 2" xfId="8842" xr:uid="{8C662391-629E-4717-81AE-04F25FD6FF10}"/>
    <cellStyle name="Normal 6 11 2 2 20" xfId="8843" xr:uid="{6C74DA0F-0E98-4C01-BBA4-C40F046D341A}"/>
    <cellStyle name="Normal 6 11 2 2 21" xfId="8844" xr:uid="{239EDCFD-6DBB-4E68-A403-281B18DFA269}"/>
    <cellStyle name="Normal 6 11 2 2 22" xfId="8845" xr:uid="{BBD3C4A3-6384-4B8D-9048-283225376D0E}"/>
    <cellStyle name="Normal 6 11 2 2 23" xfId="8846" xr:uid="{1A2F9716-D941-4556-B7AE-EA154CF643BD}"/>
    <cellStyle name="Normal 6 11 2 2 24" xfId="8847" xr:uid="{E5F3ABB9-1944-4D60-B77E-1F3845962051}"/>
    <cellStyle name="Normal 6 11 2 2 25" xfId="8848" xr:uid="{C5D2314E-C3A4-46A7-893B-6113591950D9}"/>
    <cellStyle name="Normal 6 11 2 2 26" xfId="8849" xr:uid="{9C807557-9D74-4D64-8EB6-48467D2DDC24}"/>
    <cellStyle name="Normal 6 11 2 2 3" xfId="8850" xr:uid="{6BC4327D-A967-4BA6-9C80-2F4660F2F025}"/>
    <cellStyle name="Normal 6 11 2 2 4" xfId="8851" xr:uid="{B9271F32-1DEB-44C2-B765-6F7DC60F433F}"/>
    <cellStyle name="Normal 6 11 2 2 5" xfId="8852" xr:uid="{2427C14E-562D-4704-8E7A-AC55F01B57EC}"/>
    <cellStyle name="Normal 6 11 2 2 6" xfId="8853" xr:uid="{1F89C7E0-3BC6-4730-B586-D2EAECA70725}"/>
    <cellStyle name="Normal 6 11 2 2 7" xfId="8854" xr:uid="{1C275ECC-43E7-49B8-8500-D56B00AFB747}"/>
    <cellStyle name="Normal 6 11 2 2 8" xfId="8855" xr:uid="{A72AC4E7-72C8-4FB6-9D75-5B53C48B51CE}"/>
    <cellStyle name="Normal 6 11 2 2 9" xfId="8856" xr:uid="{D14BD05A-F232-4A57-A618-EA7790C52534}"/>
    <cellStyle name="Normal 6 11 2 2_Manual Consol" xfId="8857" xr:uid="{1030BA99-0642-4486-9A44-6DF64416CF9D}"/>
    <cellStyle name="Normal 6 11 2 20" xfId="8858" xr:uid="{23691D03-20E2-4A93-8E4A-57869B9B3B8F}"/>
    <cellStyle name="Normal 6 11 2 21" xfId="8859" xr:uid="{35A4FB1E-3B68-4A20-843A-672989A533BA}"/>
    <cellStyle name="Normal 6 11 2 22" xfId="8860" xr:uid="{BC31721A-0EEC-4E71-9A57-21B922C28D3C}"/>
    <cellStyle name="Normal 6 11 2 23" xfId="8861" xr:uid="{A12189A5-451F-4E68-BF3A-B653261C9F88}"/>
    <cellStyle name="Normal 6 11 2 24" xfId="8862" xr:uid="{F76EEB76-0584-4AB1-8909-79BD835FABC7}"/>
    <cellStyle name="Normal 6 11 2 25" xfId="8863" xr:uid="{410B265A-EF37-41EE-9F45-90317389BF36}"/>
    <cellStyle name="Normal 6 11 2 26" xfId="8864" xr:uid="{8C5F409B-5DC9-4AA7-B169-E361D1F1F5DD}"/>
    <cellStyle name="Normal 6 11 2 27" xfId="8865" xr:uid="{68CF7B50-8C30-46E9-9EFE-9E8E96275CCA}"/>
    <cellStyle name="Normal 6 11 2 28" xfId="8866" xr:uid="{8E63E285-BE75-4273-BAAF-DD33366693C8}"/>
    <cellStyle name="Normal 6 11 2 29" xfId="8867" xr:uid="{615B301D-27AC-4272-9728-2CD7AB214B19}"/>
    <cellStyle name="Normal 6 11 2 3" xfId="8868" xr:uid="{6443E727-EAF7-406A-857C-C18409FDA5C6}"/>
    <cellStyle name="Normal 6 11 2 3 10" xfId="8869" xr:uid="{9B90AD83-E088-461D-922C-FEE4524F463A}"/>
    <cellStyle name="Normal 6 11 2 3 11" xfId="8870" xr:uid="{836EFE07-AD58-4DC1-80A6-7EBE5082EFFF}"/>
    <cellStyle name="Normal 6 11 2 3 12" xfId="8871" xr:uid="{DCE3A227-B842-4F5E-A34C-466D7F999507}"/>
    <cellStyle name="Normal 6 11 2 3 13" xfId="8872" xr:uid="{FFE70663-170B-47AA-8B7A-DA315895BCAC}"/>
    <cellStyle name="Normal 6 11 2 3 14" xfId="8873" xr:uid="{F51771CA-7121-4F92-9A56-AB85F7DEB5D5}"/>
    <cellStyle name="Normal 6 11 2 3 15" xfId="8874" xr:uid="{E4397295-0593-4F31-A938-9E4D6D16FEC1}"/>
    <cellStyle name="Normal 6 11 2 3 16" xfId="8875" xr:uid="{986EF6D1-F9FB-48CF-9C1E-25263CBBBB95}"/>
    <cellStyle name="Normal 6 11 2 3 17" xfId="8876" xr:uid="{35176F14-4A8F-47ED-9082-2F56A96F825C}"/>
    <cellStyle name="Normal 6 11 2 3 18" xfId="8877" xr:uid="{4EA058DC-55C2-45FF-A79C-73F0A05BA715}"/>
    <cellStyle name="Normal 6 11 2 3 19" xfId="8878" xr:uid="{42BD7A09-15D8-4B16-9AD9-D2D6523C3585}"/>
    <cellStyle name="Normal 6 11 2 3 2" xfId="8879" xr:uid="{3EA5C67D-48DD-4CB5-84FC-AF4D6AE68B3E}"/>
    <cellStyle name="Normal 6 11 2 3 20" xfId="8880" xr:uid="{B59AE3FE-BFC7-471D-A72B-905CAE376987}"/>
    <cellStyle name="Normal 6 11 2 3 21" xfId="8881" xr:uid="{1D9260D2-7F4F-4955-808D-824854B9EC0D}"/>
    <cellStyle name="Normal 6 11 2 3 22" xfId="8882" xr:uid="{408900C7-C9A7-40DB-B8B7-D1409EFDD3FA}"/>
    <cellStyle name="Normal 6 11 2 3 23" xfId="8883" xr:uid="{05215B13-BBA9-469B-8112-0E9B5C019148}"/>
    <cellStyle name="Normal 6 11 2 3 24" xfId="8884" xr:uid="{9B894C14-3163-4BDA-991A-DFAC367E1645}"/>
    <cellStyle name="Normal 6 11 2 3 25" xfId="8885" xr:uid="{8DDDFDE3-659B-4347-9DFB-47F42E813928}"/>
    <cellStyle name="Normal 6 11 2 3 26" xfId="8886" xr:uid="{B29C0C0A-ECFF-4C25-BF97-1230D5D4361D}"/>
    <cellStyle name="Normal 6 11 2 3 3" xfId="8887" xr:uid="{401A9693-0D1F-4851-A6A4-C7D8E668A2CE}"/>
    <cellStyle name="Normal 6 11 2 3 4" xfId="8888" xr:uid="{60B72C35-4EA8-4AA0-9806-365B6AEDA9CA}"/>
    <cellStyle name="Normal 6 11 2 3 5" xfId="8889" xr:uid="{6232DBE4-575A-4F08-95DF-9A7F51A43BBE}"/>
    <cellStyle name="Normal 6 11 2 3 6" xfId="8890" xr:uid="{81D68197-51C9-4F89-B305-2616E2E52A80}"/>
    <cellStyle name="Normal 6 11 2 3 7" xfId="8891" xr:uid="{02CC5C7D-45D0-4B05-8837-175A30218593}"/>
    <cellStyle name="Normal 6 11 2 3 8" xfId="8892" xr:uid="{07940707-E202-4C5D-9037-B0DD360CEF13}"/>
    <cellStyle name="Normal 6 11 2 3 9" xfId="8893" xr:uid="{1291CFAE-2DDB-4257-B50F-3D2A7ACD202A}"/>
    <cellStyle name="Normal 6 11 2 3_Manual Consol" xfId="8894" xr:uid="{C1BEA0FE-0EA4-4126-B7A4-48F4B3C4AFFB}"/>
    <cellStyle name="Normal 6 11 2 30" xfId="8895" xr:uid="{727C5DE4-9822-4DA5-8927-BDD3703611AA}"/>
    <cellStyle name="Normal 6 11 2 31" xfId="8896" xr:uid="{15D3E189-1906-45F9-8C2E-AEA8912C3959}"/>
    <cellStyle name="Normal 6 11 2 32" xfId="8897" xr:uid="{B35A46C4-CD4E-4A87-AA5C-5E6421DE5560}"/>
    <cellStyle name="Normal 6 11 2 33" xfId="8898" xr:uid="{DACC7F61-AC1A-44F6-8285-D5AED7A3909C}"/>
    <cellStyle name="Normal 6 11 2 4" xfId="8899" xr:uid="{A464D84F-1097-4CBA-90D1-F4F0EFFCB738}"/>
    <cellStyle name="Normal 6 11 2 4 10" xfId="8900" xr:uid="{B60BA4B3-4DAD-4240-88B9-D5011EAA6419}"/>
    <cellStyle name="Normal 6 11 2 4 11" xfId="8901" xr:uid="{2338D360-B758-46FB-A78A-A9FC11470882}"/>
    <cellStyle name="Normal 6 11 2 4 12" xfId="8902" xr:uid="{460C7F3E-ECEB-45F5-80DE-A0D32C106E33}"/>
    <cellStyle name="Normal 6 11 2 4 13" xfId="8903" xr:uid="{DD08B545-A36A-4212-B6F2-68F87E0E189D}"/>
    <cellStyle name="Normal 6 11 2 4 14" xfId="8904" xr:uid="{A1719F87-F7AC-48C3-86E4-33E605686667}"/>
    <cellStyle name="Normal 6 11 2 4 15" xfId="8905" xr:uid="{AFE8619F-31F9-459E-BDD6-EF1680E84354}"/>
    <cellStyle name="Normal 6 11 2 4 16" xfId="8906" xr:uid="{8D4BEE7F-2FDB-443F-B23A-5FF24D04625E}"/>
    <cellStyle name="Normal 6 11 2 4 17" xfId="8907" xr:uid="{2DA98659-CC84-4E61-95AA-5C98A1287541}"/>
    <cellStyle name="Normal 6 11 2 4 18" xfId="8908" xr:uid="{3CCA864F-509F-41CE-8EFF-8C13EE1B5267}"/>
    <cellStyle name="Normal 6 11 2 4 19" xfId="8909" xr:uid="{BC3A10A3-3F35-4257-A581-6136296C1C3F}"/>
    <cellStyle name="Normal 6 11 2 4 2" xfId="8910" xr:uid="{AD2FD250-FCA7-4D6F-BE96-666F6086E615}"/>
    <cellStyle name="Normal 6 11 2 4 20" xfId="8911" xr:uid="{49B2C5EA-1421-4215-8933-512D46497C99}"/>
    <cellStyle name="Normal 6 11 2 4 21" xfId="8912" xr:uid="{7C67BB89-F8CA-4C0F-9442-A9FCF077292E}"/>
    <cellStyle name="Normal 6 11 2 4 22" xfId="8913" xr:uid="{148942A6-04D0-43DE-84CC-83A8DF10A487}"/>
    <cellStyle name="Normal 6 11 2 4 23" xfId="8914" xr:uid="{B7AEB10D-DDE1-4360-9FBC-F5C04A6FFD97}"/>
    <cellStyle name="Normal 6 11 2 4 24" xfId="8915" xr:uid="{672D8BC6-5F2E-41E2-8F3D-D353E9826F6D}"/>
    <cellStyle name="Normal 6 11 2 4 25" xfId="8916" xr:uid="{12827850-FADB-428C-9189-0BA0BC96E1F5}"/>
    <cellStyle name="Normal 6 11 2 4 26" xfId="8917" xr:uid="{03D25887-195D-4EA3-82FC-7E6A8ED55418}"/>
    <cellStyle name="Normal 6 11 2 4 3" xfId="8918" xr:uid="{3717C8FA-291E-4C28-975B-11B1732B77A4}"/>
    <cellStyle name="Normal 6 11 2 4 4" xfId="8919" xr:uid="{44E399E3-B916-4518-9FC0-53CF99F91692}"/>
    <cellStyle name="Normal 6 11 2 4 5" xfId="8920" xr:uid="{09012305-C687-4570-978A-943D754EAFCD}"/>
    <cellStyle name="Normal 6 11 2 4 6" xfId="8921" xr:uid="{BAD9C424-086A-41A6-8B7E-5D689E11559F}"/>
    <cellStyle name="Normal 6 11 2 4 7" xfId="8922" xr:uid="{6C54660B-9A8A-48B0-8906-10AC251486CB}"/>
    <cellStyle name="Normal 6 11 2 4 8" xfId="8923" xr:uid="{19EC5F81-46E4-4B83-B643-A995A6F03C6E}"/>
    <cellStyle name="Normal 6 11 2 4 9" xfId="8924" xr:uid="{392E66B9-7E30-443C-B873-2543B53411E5}"/>
    <cellStyle name="Normal 6 11 2 4_Manual Consol" xfId="8925" xr:uid="{DDF1BE02-1BFC-460F-9D64-9C282920D233}"/>
    <cellStyle name="Normal 6 11 2 5" xfId="8926" xr:uid="{C66AF2AF-6515-4EED-87C1-1DF144672FDC}"/>
    <cellStyle name="Normal 6 11 2 5 10" xfId="8927" xr:uid="{383D7A1B-FA06-468B-AA4F-050457B6B344}"/>
    <cellStyle name="Normal 6 11 2 5 11" xfId="8928" xr:uid="{136EE62E-4A5F-4821-B289-14B82DCA2EC4}"/>
    <cellStyle name="Normal 6 11 2 5 12" xfId="8929" xr:uid="{BDEB7DE8-B4B9-4F1C-8F66-60081F100CA5}"/>
    <cellStyle name="Normal 6 11 2 5 13" xfId="8930" xr:uid="{31EB7E63-6496-49F1-B4E1-ADA4239FC2B4}"/>
    <cellStyle name="Normal 6 11 2 5 14" xfId="8931" xr:uid="{775A00A7-AA83-4C3E-9707-5C9A12D45F1E}"/>
    <cellStyle name="Normal 6 11 2 5 15" xfId="8932" xr:uid="{733D232E-8D5C-4DA7-A0E3-E73429C5932E}"/>
    <cellStyle name="Normal 6 11 2 5 16" xfId="8933" xr:uid="{21CB5155-D270-492D-B847-E09B1888495C}"/>
    <cellStyle name="Normal 6 11 2 5 17" xfId="8934" xr:uid="{47714066-919A-4133-AF1F-864589171053}"/>
    <cellStyle name="Normal 6 11 2 5 18" xfId="8935" xr:uid="{494C045A-8C6E-4682-863A-D67E43B84F99}"/>
    <cellStyle name="Normal 6 11 2 5 19" xfId="8936" xr:uid="{570FC2A0-0A24-4A4B-B7BD-7A920DB0417F}"/>
    <cellStyle name="Normal 6 11 2 5 2" xfId="8937" xr:uid="{C5F720BB-3E2B-4006-B16C-D9A5D8ADBEDD}"/>
    <cellStyle name="Normal 6 11 2 5 20" xfId="8938" xr:uid="{ACB989A0-64B1-4AFE-9090-DE584011B9EF}"/>
    <cellStyle name="Normal 6 11 2 5 21" xfId="8939" xr:uid="{36197E3E-5B01-4F95-96A6-42879449F2AA}"/>
    <cellStyle name="Normal 6 11 2 5 22" xfId="8940" xr:uid="{5851F2E9-C0CE-41AC-87D8-F22D200207E8}"/>
    <cellStyle name="Normal 6 11 2 5 23" xfId="8941" xr:uid="{418A1EE0-01AC-4433-A292-ED824744DA81}"/>
    <cellStyle name="Normal 6 11 2 5 24" xfId="8942" xr:uid="{963C4540-2700-47FE-84D0-297DC5D9A0A7}"/>
    <cellStyle name="Normal 6 11 2 5 25" xfId="8943" xr:uid="{BC49D4F3-E074-4E18-9433-2885937A5B1D}"/>
    <cellStyle name="Normal 6 11 2 5 26" xfId="8944" xr:uid="{8EE3B69C-1A18-44EC-BE55-E88C7437E7A7}"/>
    <cellStyle name="Normal 6 11 2 5 3" xfId="8945" xr:uid="{BDAC1B05-62A3-4751-8328-F9710F673971}"/>
    <cellStyle name="Normal 6 11 2 5 4" xfId="8946" xr:uid="{F2B0E8D9-C607-47F7-A7F3-99111627C8E4}"/>
    <cellStyle name="Normal 6 11 2 5 5" xfId="8947" xr:uid="{3ED0B0D7-C456-4674-AE41-2ED3337256F2}"/>
    <cellStyle name="Normal 6 11 2 5 6" xfId="8948" xr:uid="{125AA31B-A6B5-4369-9467-2CC10B070BFB}"/>
    <cellStyle name="Normal 6 11 2 5 7" xfId="8949" xr:uid="{81C54141-1378-4A39-9949-951F43B2D690}"/>
    <cellStyle name="Normal 6 11 2 5 8" xfId="8950" xr:uid="{DABD6EFE-6B2D-4B11-BE12-E9DEDA90D15F}"/>
    <cellStyle name="Normal 6 11 2 5 9" xfId="8951" xr:uid="{BE3F8A1B-C8A6-43A0-9EB0-DD3C9989D9A2}"/>
    <cellStyle name="Normal 6 11 2 5_Manual Consol" xfId="8952" xr:uid="{550DA5A7-E64D-4249-8D38-AD693966FB4B}"/>
    <cellStyle name="Normal 6 11 2 6" xfId="8953" xr:uid="{D53926B4-CC60-48B8-99B0-D3202B729B0C}"/>
    <cellStyle name="Normal 6 11 2 6 10" xfId="8954" xr:uid="{D4DCF51B-D868-482F-92EF-4C7A11E18943}"/>
    <cellStyle name="Normal 6 11 2 6 11" xfId="8955" xr:uid="{C5FFA36F-BB92-4E5F-8D28-B03AFD1C8315}"/>
    <cellStyle name="Normal 6 11 2 6 12" xfId="8956" xr:uid="{0C6236C9-BD1D-4F19-8955-AF145319F6EE}"/>
    <cellStyle name="Normal 6 11 2 6 13" xfId="8957" xr:uid="{65736914-F37C-423B-B451-9DF722562F35}"/>
    <cellStyle name="Normal 6 11 2 6 14" xfId="8958" xr:uid="{F077B576-63CF-4B0B-8284-D2FB65E383D8}"/>
    <cellStyle name="Normal 6 11 2 6 15" xfId="8959" xr:uid="{55514ED4-0BF1-431B-B90C-C218F9FA9F3F}"/>
    <cellStyle name="Normal 6 11 2 6 16" xfId="8960" xr:uid="{24D2D323-9A30-49E7-AEB2-206E8DF71282}"/>
    <cellStyle name="Normal 6 11 2 6 17" xfId="8961" xr:uid="{DEB03DCF-E737-451A-9E9E-219A96BAB55C}"/>
    <cellStyle name="Normal 6 11 2 6 18" xfId="8962" xr:uid="{9441D424-2C27-40DE-BB4C-3B6F7323D31D}"/>
    <cellStyle name="Normal 6 11 2 6 19" xfId="8963" xr:uid="{C1095144-42BE-426B-8BE7-C3ED60686BD5}"/>
    <cellStyle name="Normal 6 11 2 6 2" xfId="8964" xr:uid="{FBD36189-F6BB-4B07-A35F-757154597ADD}"/>
    <cellStyle name="Normal 6 11 2 6 20" xfId="8965" xr:uid="{58A6056F-22EE-4E61-90BD-574C8153302F}"/>
    <cellStyle name="Normal 6 11 2 6 21" xfId="8966" xr:uid="{4B739CAA-09BA-4876-ADBD-F771FE455955}"/>
    <cellStyle name="Normal 6 11 2 6 22" xfId="8967" xr:uid="{0E5408E0-60A7-4A4B-A4B4-11EAA2EC49BC}"/>
    <cellStyle name="Normal 6 11 2 6 23" xfId="8968" xr:uid="{9D9C819B-B923-4701-940E-11719112B0ED}"/>
    <cellStyle name="Normal 6 11 2 6 24" xfId="8969" xr:uid="{86D4CBEE-7BCE-4298-91BE-DA0ECBBAD0B0}"/>
    <cellStyle name="Normal 6 11 2 6 25" xfId="8970" xr:uid="{39F94110-A83C-4DFB-AA2C-DE4BE9613E9C}"/>
    <cellStyle name="Normal 6 11 2 6 26" xfId="8971" xr:uid="{D84AD786-0EE5-45FE-B431-6A52EBF2AC84}"/>
    <cellStyle name="Normal 6 11 2 6 3" xfId="8972" xr:uid="{F22D0F24-2640-4F0E-AFB3-B5FE6687D3E8}"/>
    <cellStyle name="Normal 6 11 2 6 4" xfId="8973" xr:uid="{C96B22D7-7839-45ED-9440-C31E12727817}"/>
    <cellStyle name="Normal 6 11 2 6 5" xfId="8974" xr:uid="{EF78375B-FCD5-4D70-AAF1-CDFD487EB576}"/>
    <cellStyle name="Normal 6 11 2 6 6" xfId="8975" xr:uid="{37BBA535-2D0D-4A97-948B-8DB1EB6DA5DE}"/>
    <cellStyle name="Normal 6 11 2 6 7" xfId="8976" xr:uid="{47F07FAC-A4EA-4072-B9B9-1D4D445196D1}"/>
    <cellStyle name="Normal 6 11 2 6 8" xfId="8977" xr:uid="{C706250A-4956-49D7-B347-053BDF4A947C}"/>
    <cellStyle name="Normal 6 11 2 6 9" xfId="8978" xr:uid="{66CC3D16-8687-4C92-B6ED-92641C8FBFFF}"/>
    <cellStyle name="Normal 6 11 2 6_Manual Consol" xfId="8979" xr:uid="{C14BF040-00B3-4D65-8FB0-DE6BD70F5A7C}"/>
    <cellStyle name="Normal 6 11 2 7" xfId="8980" xr:uid="{6EB6EA62-5CC5-4BFF-AD51-D58DDED7CD15}"/>
    <cellStyle name="Normal 6 11 2 7 10" xfId="8981" xr:uid="{6C294034-7B9B-4C82-8F6B-B731F2CEF8B1}"/>
    <cellStyle name="Normal 6 11 2 7 11" xfId="8982" xr:uid="{0462D6F0-1A56-4654-B415-7C22F1C262C9}"/>
    <cellStyle name="Normal 6 11 2 7 12" xfId="8983" xr:uid="{03B23C79-7353-4309-92A4-A5A9F126D2E2}"/>
    <cellStyle name="Normal 6 11 2 7 13" xfId="8984" xr:uid="{D644F955-9ECD-4A4A-BF51-DAFBCB53D744}"/>
    <cellStyle name="Normal 6 11 2 7 14" xfId="8985" xr:uid="{B7CBB08A-5F4F-41CC-9019-6967A9D081E6}"/>
    <cellStyle name="Normal 6 11 2 7 15" xfId="8986" xr:uid="{C3058325-4972-4B63-AFF0-6629BEC4C06A}"/>
    <cellStyle name="Normal 6 11 2 7 16" xfId="8987" xr:uid="{3FA643EF-9540-4DC7-A4BD-FA972E39238C}"/>
    <cellStyle name="Normal 6 11 2 7 17" xfId="8988" xr:uid="{8EA8BB94-54D6-4BED-BC05-60372DF421CA}"/>
    <cellStyle name="Normal 6 11 2 7 18" xfId="8989" xr:uid="{71BF9168-605D-438F-92ED-DC74DA8EB0B4}"/>
    <cellStyle name="Normal 6 11 2 7 19" xfId="8990" xr:uid="{090EDDBC-61EE-4142-A52B-70944A793C61}"/>
    <cellStyle name="Normal 6 11 2 7 2" xfId="8991" xr:uid="{B80482C7-A66A-4891-BB99-A0AE5D13E6A5}"/>
    <cellStyle name="Normal 6 11 2 7 20" xfId="8992" xr:uid="{F7AFF664-065C-46B5-94B1-DCB841B74B4E}"/>
    <cellStyle name="Normal 6 11 2 7 21" xfId="8993" xr:uid="{6494D7C9-B4AF-4C41-A62C-750FC77F8A17}"/>
    <cellStyle name="Normal 6 11 2 7 22" xfId="8994" xr:uid="{E18C8F97-696B-4C1B-91B9-514C90EDD0C5}"/>
    <cellStyle name="Normal 6 11 2 7 23" xfId="8995" xr:uid="{92239257-1FD9-4882-AEEA-B33F6F55A8B0}"/>
    <cellStyle name="Normal 6 11 2 7 24" xfId="8996" xr:uid="{45EB31EF-5C51-4F46-9AD1-63A584118EDE}"/>
    <cellStyle name="Normal 6 11 2 7 25" xfId="8997" xr:uid="{5CEBB299-74C4-4C02-8817-91EE46D3B2E9}"/>
    <cellStyle name="Normal 6 11 2 7 26" xfId="8998" xr:uid="{5E9DF00B-7769-440E-8D22-D3D380F262F1}"/>
    <cellStyle name="Normal 6 11 2 7 3" xfId="8999" xr:uid="{31DC3B0F-ED0B-4E32-873D-D8C589B9B2FF}"/>
    <cellStyle name="Normal 6 11 2 7 4" xfId="9000" xr:uid="{157DA582-66B9-48A0-83BE-3999F423CD5A}"/>
    <cellStyle name="Normal 6 11 2 7 5" xfId="9001" xr:uid="{D87BF3B5-634B-4FA9-991E-31C20E244FD3}"/>
    <cellStyle name="Normal 6 11 2 7 6" xfId="9002" xr:uid="{020F6D56-3F06-4E96-A4D0-CDD8EEAA553F}"/>
    <cellStyle name="Normal 6 11 2 7 7" xfId="9003" xr:uid="{0664C9EA-E8C6-4DD7-A194-29E7AED0E708}"/>
    <cellStyle name="Normal 6 11 2 7 8" xfId="9004" xr:uid="{B11EC516-4274-4130-984D-9DE32C06BE24}"/>
    <cellStyle name="Normal 6 11 2 7 9" xfId="9005" xr:uid="{BAE1C2A4-BD5E-4EB8-AD0B-97CF986ADC30}"/>
    <cellStyle name="Normal 6 11 2 7_Manual Consol" xfId="9006" xr:uid="{2ECEB355-50C9-4FB0-A746-73EAAB19BD04}"/>
    <cellStyle name="Normal 6 11 2 8" xfId="9007" xr:uid="{D58ED7AF-4051-45A9-9C71-2D003FF0F068}"/>
    <cellStyle name="Normal 6 11 2 8 10" xfId="9008" xr:uid="{12B84F8D-16F0-4F9B-81C4-85CC450DEB91}"/>
    <cellStyle name="Normal 6 11 2 8 11" xfId="9009" xr:uid="{1347DCA3-83CF-425B-8DBA-5E7868217596}"/>
    <cellStyle name="Normal 6 11 2 8 12" xfId="9010" xr:uid="{09CD0DD6-3D8D-4FB8-BC3E-C75872DD1CFF}"/>
    <cellStyle name="Normal 6 11 2 8 13" xfId="9011" xr:uid="{9D086CD5-C421-4489-AC7F-23AA21964D5F}"/>
    <cellStyle name="Normal 6 11 2 8 14" xfId="9012" xr:uid="{51DD357A-53A3-4319-ACA6-2F0A38F307AF}"/>
    <cellStyle name="Normal 6 11 2 8 15" xfId="9013" xr:uid="{CA585AD0-B883-43AA-AABA-8FE4168680C0}"/>
    <cellStyle name="Normal 6 11 2 8 16" xfId="9014" xr:uid="{7DB68A11-CFA9-4021-82F4-7B843A442382}"/>
    <cellStyle name="Normal 6 11 2 8 17" xfId="9015" xr:uid="{BF2E24FB-C9BF-4406-B3F3-F6EC17AD214F}"/>
    <cellStyle name="Normal 6 11 2 8 18" xfId="9016" xr:uid="{A78EAB07-C4EE-48D7-B1D1-9794E8FEDDF4}"/>
    <cellStyle name="Normal 6 11 2 8 19" xfId="9017" xr:uid="{026A744D-B060-43CA-8E19-23267BEAF484}"/>
    <cellStyle name="Normal 6 11 2 8 2" xfId="9018" xr:uid="{07C22076-4CD3-4924-85A1-3B2F378A1131}"/>
    <cellStyle name="Normal 6 11 2 8 20" xfId="9019" xr:uid="{5FA27A2E-E0B0-48BB-A663-6F17D9675E89}"/>
    <cellStyle name="Normal 6 11 2 8 21" xfId="9020" xr:uid="{3BB63925-C247-46C8-B78B-0DAB2086A0C3}"/>
    <cellStyle name="Normal 6 11 2 8 22" xfId="9021" xr:uid="{800C66D4-04EB-4FA5-A28D-5FEFED19D4A5}"/>
    <cellStyle name="Normal 6 11 2 8 23" xfId="9022" xr:uid="{1AA480B9-A573-4D49-95CE-61409DD6D67D}"/>
    <cellStyle name="Normal 6 11 2 8 24" xfId="9023" xr:uid="{C7979DA3-8B31-4530-9A6B-6174160D2511}"/>
    <cellStyle name="Normal 6 11 2 8 25" xfId="9024" xr:uid="{0271AE4E-790A-4FBD-995D-3C5EE3AB784B}"/>
    <cellStyle name="Normal 6 11 2 8 26" xfId="9025" xr:uid="{572CF413-B68D-475D-9F2F-CBD389040B83}"/>
    <cellStyle name="Normal 6 11 2 8 3" xfId="9026" xr:uid="{F29FAA53-0FFF-4F39-B239-6FC93568F57D}"/>
    <cellStyle name="Normal 6 11 2 8 4" xfId="9027" xr:uid="{599F1502-12F3-48AC-86AB-310A452E689D}"/>
    <cellStyle name="Normal 6 11 2 8 5" xfId="9028" xr:uid="{55023B93-B989-4C58-BA17-2063A7C4EC2B}"/>
    <cellStyle name="Normal 6 11 2 8 6" xfId="9029" xr:uid="{F55688D3-A5E7-49C5-BA2F-9FB26AAFA129}"/>
    <cellStyle name="Normal 6 11 2 8 7" xfId="9030" xr:uid="{8EC723EE-4A51-4949-A7D6-F20857E03D40}"/>
    <cellStyle name="Normal 6 11 2 8 8" xfId="9031" xr:uid="{A78FD283-FCF0-4582-8AEB-101F4A976904}"/>
    <cellStyle name="Normal 6 11 2 8 9" xfId="9032" xr:uid="{AAB37186-075F-478E-AC18-C665E590448A}"/>
    <cellStyle name="Normal 6 11 2 8_Manual Consol" xfId="9033" xr:uid="{CBBB6696-DD5D-40AE-B3FA-17005345FE39}"/>
    <cellStyle name="Normal 6 11 2 9" xfId="9034" xr:uid="{7DCC7A12-AFE5-4644-AE37-5D28FD70B98D}"/>
    <cellStyle name="Normal 6 11 2_Manual Consol" xfId="9035" xr:uid="{AC70FB93-8EC5-4918-9752-57C9F6E51947}"/>
    <cellStyle name="Normal 6 11 20" xfId="9036" xr:uid="{B8F9DECD-FF15-4C65-96DE-03F34A581F17}"/>
    <cellStyle name="Normal 6 11 21" xfId="9037" xr:uid="{50BAB1BA-A7AF-4BC4-8CD5-8DA21F47D6B4}"/>
    <cellStyle name="Normal 6 11 22" xfId="9038" xr:uid="{91BED9D3-6B88-43CD-93E5-6395927CF528}"/>
    <cellStyle name="Normal 6 11 23" xfId="9039" xr:uid="{7FF22DC9-5413-47E2-9FCD-788EAD00618A}"/>
    <cellStyle name="Normal 6 11 24" xfId="9040" xr:uid="{712E1DA1-83F2-468C-B338-D143E29EE031}"/>
    <cellStyle name="Normal 6 11 25" xfId="9041" xr:uid="{B7207484-7556-4906-A9DF-6F913CA0735C}"/>
    <cellStyle name="Normal 6 11 26" xfId="9042" xr:uid="{CBFD1D2C-1949-4BF7-BCF7-66B044306C71}"/>
    <cellStyle name="Normal 6 11 27" xfId="9043" xr:uid="{A0CD2A99-D3D3-4CFC-8925-A2C45ADFBA8D}"/>
    <cellStyle name="Normal 6 11 28" xfId="9044" xr:uid="{D4801082-6470-47BB-8892-9EA519DABC4B}"/>
    <cellStyle name="Normal 6 11 29" xfId="9045" xr:uid="{E84D2D06-082C-4F4F-B162-1B39069E5EAA}"/>
    <cellStyle name="Normal 6 11 3" xfId="9046" xr:uid="{E5C167A3-B13E-4E84-8263-D8CEE749F407}"/>
    <cellStyle name="Normal 6 11 3 10" xfId="9047" xr:uid="{2176B62C-7235-4A0A-B0EE-DB47683C92DB}"/>
    <cellStyle name="Normal 6 11 3 11" xfId="9048" xr:uid="{0753F8B9-7F8B-4565-861D-D783DA3A9C91}"/>
    <cellStyle name="Normal 6 11 3 12" xfId="9049" xr:uid="{99757037-4EEB-40DA-9EBE-8068000ACDDE}"/>
    <cellStyle name="Normal 6 11 3 13" xfId="9050" xr:uid="{BF12E304-6372-4E9D-B41B-093FBE3F61FB}"/>
    <cellStyle name="Normal 6 11 3 14" xfId="9051" xr:uid="{3198DD7D-0603-4C41-A65E-18A5E6A7FA73}"/>
    <cellStyle name="Normal 6 11 3 15" xfId="9052" xr:uid="{FD29DC9D-E3D0-4610-AAB6-89F78F89B6A2}"/>
    <cellStyle name="Normal 6 11 3 16" xfId="9053" xr:uid="{133149F4-56C2-4529-A696-5D4E4F232EBD}"/>
    <cellStyle name="Normal 6 11 3 17" xfId="9054" xr:uid="{B9836B27-C8A1-4D05-A734-36F659333784}"/>
    <cellStyle name="Normal 6 11 3 18" xfId="9055" xr:uid="{FE07281A-AA72-4F4C-AD79-C46ADBBFBCF4}"/>
    <cellStyle name="Normal 6 11 3 19" xfId="9056" xr:uid="{F8AB97EF-DA92-4AA7-99E5-56CC90E79E54}"/>
    <cellStyle name="Normal 6 11 3 2" xfId="9057" xr:uid="{8B1F0D95-5AE4-4B6D-B6A8-68882798EF60}"/>
    <cellStyle name="Normal 6 11 3 2 10" xfId="9058" xr:uid="{7F04505C-F7FF-4558-AAAB-BDE2409D1199}"/>
    <cellStyle name="Normal 6 11 3 2 11" xfId="9059" xr:uid="{B9BAD761-7E66-4471-AE99-11F7BEEB4C29}"/>
    <cellStyle name="Normal 6 11 3 2 12" xfId="9060" xr:uid="{4D62674F-D49B-40F9-AE22-E9D3922EC86B}"/>
    <cellStyle name="Normal 6 11 3 2 13" xfId="9061" xr:uid="{4B81EBEB-EF18-48C6-9EA8-8B4854BD9AC4}"/>
    <cellStyle name="Normal 6 11 3 2 14" xfId="9062" xr:uid="{C995A0A1-BCEC-4148-A4B7-32FEEDD2B0BA}"/>
    <cellStyle name="Normal 6 11 3 2 15" xfId="9063" xr:uid="{6A1BC242-50D3-43E0-9013-D4D4137175E6}"/>
    <cellStyle name="Normal 6 11 3 2 16" xfId="9064" xr:uid="{E67AB911-3462-4134-994D-901709213C69}"/>
    <cellStyle name="Normal 6 11 3 2 17" xfId="9065" xr:uid="{AC01FAEC-04C3-4FCB-837C-9B47724CB744}"/>
    <cellStyle name="Normal 6 11 3 2 18" xfId="9066" xr:uid="{1D565E30-5E7C-4739-9DF3-F03C53E384B6}"/>
    <cellStyle name="Normal 6 11 3 2 19" xfId="9067" xr:uid="{027B11B5-B813-4BBC-918C-B9FC366999AA}"/>
    <cellStyle name="Normal 6 11 3 2 2" xfId="9068" xr:uid="{831702AA-57C8-405A-9E2D-C125F893A5E2}"/>
    <cellStyle name="Normal 6 11 3 2 20" xfId="9069" xr:uid="{5E395E33-C964-4FF3-A66E-31A3AE2259D2}"/>
    <cellStyle name="Normal 6 11 3 2 21" xfId="9070" xr:uid="{5D2AB20D-1DCA-4073-8890-263E8E272C3A}"/>
    <cellStyle name="Normal 6 11 3 2 22" xfId="9071" xr:uid="{F0FDF345-1FFF-4E93-AF2E-716C92D76A3D}"/>
    <cellStyle name="Normal 6 11 3 2 23" xfId="9072" xr:uid="{68B25331-3AFA-4B6B-A790-5C3F56C3CF77}"/>
    <cellStyle name="Normal 6 11 3 2 24" xfId="9073" xr:uid="{1E05D0CC-3668-4BAD-A728-06C213E45131}"/>
    <cellStyle name="Normal 6 11 3 2 25" xfId="9074" xr:uid="{7D2A6542-7F88-49F4-9910-86B42934BBC2}"/>
    <cellStyle name="Normal 6 11 3 2 26" xfId="9075" xr:uid="{F6892D05-50D1-4A70-B380-EBA709B6493E}"/>
    <cellStyle name="Normal 6 11 3 2 3" xfId="9076" xr:uid="{5B46B485-AB50-47DD-AE3C-00471604124B}"/>
    <cellStyle name="Normal 6 11 3 2 4" xfId="9077" xr:uid="{9FDD8828-A4EA-4900-A6B3-7023F4277195}"/>
    <cellStyle name="Normal 6 11 3 2 5" xfId="9078" xr:uid="{04C59A9E-3457-4D9E-9216-60CE9F03E9EA}"/>
    <cellStyle name="Normal 6 11 3 2 6" xfId="9079" xr:uid="{E3173B37-2F0E-4520-931A-8236B9BDEF7C}"/>
    <cellStyle name="Normal 6 11 3 2 7" xfId="9080" xr:uid="{A87C8BF0-94CF-4DE7-8653-6483BE3C059A}"/>
    <cellStyle name="Normal 6 11 3 2 8" xfId="9081" xr:uid="{049F655B-E026-491F-95DE-0DC3B0F55FF6}"/>
    <cellStyle name="Normal 6 11 3 2 9" xfId="9082" xr:uid="{EFA7F7D1-9048-49BB-874D-BB9535B390DD}"/>
    <cellStyle name="Normal 6 11 3 2_Manual Consol" xfId="9083" xr:uid="{B3A6A36A-A3B6-4649-8F67-CE71CCF3CCCD}"/>
    <cellStyle name="Normal 6 11 3 20" xfId="9084" xr:uid="{334F0E15-F4AD-4A8F-8222-F59A175189DC}"/>
    <cellStyle name="Normal 6 11 3 21" xfId="9085" xr:uid="{7240F77F-640B-4C45-B365-96C76BBE46EB}"/>
    <cellStyle name="Normal 6 11 3 22" xfId="9086" xr:uid="{818373D7-AF17-4B36-9EBD-B3EE50515B24}"/>
    <cellStyle name="Normal 6 11 3 23" xfId="9087" xr:uid="{25121DE6-B9E7-4DB4-B1C1-6A3E8C407F18}"/>
    <cellStyle name="Normal 6 11 3 24" xfId="9088" xr:uid="{71E8B934-0D0F-490F-8104-17D00DA655E4}"/>
    <cellStyle name="Normal 6 11 3 25" xfId="9089" xr:uid="{2F9686A8-DFC4-4DBF-96B8-F02B33B67D48}"/>
    <cellStyle name="Normal 6 11 3 26" xfId="9090" xr:uid="{31B15AE3-26C4-402A-A1A2-A15C94C7B594}"/>
    <cellStyle name="Normal 6 11 3 27" xfId="9091" xr:uid="{2D814F9A-789C-485D-981C-8AF28A0EE015}"/>
    <cellStyle name="Normal 6 11 3 3" xfId="9092" xr:uid="{D4E13ADD-ECA7-48C9-8D9A-4E9F8EF7A899}"/>
    <cellStyle name="Normal 6 11 3 4" xfId="9093" xr:uid="{36FF09FA-ACC4-4CDA-BA7B-9CD52C27E26D}"/>
    <cellStyle name="Normal 6 11 3 5" xfId="9094" xr:uid="{0E06B399-BC55-44D3-AC32-1198AA72A964}"/>
    <cellStyle name="Normal 6 11 3 6" xfId="9095" xr:uid="{85ABE6B8-FBB9-4FD7-B944-CCEF047C4A4E}"/>
    <cellStyle name="Normal 6 11 3 7" xfId="9096" xr:uid="{A2D40D43-2C9E-4EE9-B0AF-AA05141E18D6}"/>
    <cellStyle name="Normal 6 11 3 8" xfId="9097" xr:uid="{AF55616C-E105-43C5-9D71-CBA6EB90DF8E}"/>
    <cellStyle name="Normal 6 11 3 9" xfId="9098" xr:uid="{E17ADA8C-A578-4319-AE09-4DB1754D537C}"/>
    <cellStyle name="Normal 6 11 3_Manual Consol" xfId="9099" xr:uid="{8491D226-FA3B-4F0D-B257-C9CD17E642FF}"/>
    <cellStyle name="Normal 6 11 30" xfId="9100" xr:uid="{05DC1BB7-F058-4A7D-AA0F-5D81B64F2C3E}"/>
    <cellStyle name="Normal 6 11 31" xfId="9101" xr:uid="{9AE9AA3E-F0A5-43B4-B829-09A349A09C47}"/>
    <cellStyle name="Normal 6 11 32" xfId="9102" xr:uid="{36ED05B3-057B-4D83-AB7F-C129FC33BE39}"/>
    <cellStyle name="Normal 6 11 33" xfId="9103" xr:uid="{C0C3FD92-C6BC-43FF-94A9-FE1AB1816B16}"/>
    <cellStyle name="Normal 6 11 34" xfId="9104" xr:uid="{845553B2-5563-4D9E-8DE9-5F05046127BF}"/>
    <cellStyle name="Normal 6 11 35" xfId="9105" xr:uid="{B0EA6802-8016-47DE-91D3-935E8B5B54A7}"/>
    <cellStyle name="Normal 6 11 4" xfId="9106" xr:uid="{1E826154-AE0E-4C5C-8B7F-5477AD849D3F}"/>
    <cellStyle name="Normal 6 11 4 10" xfId="9107" xr:uid="{181EB9B2-5022-4210-BE80-B0D8D4AA2D29}"/>
    <cellStyle name="Normal 6 11 4 11" xfId="9108" xr:uid="{E23817C9-CE45-4509-8C4E-ED993579DAE1}"/>
    <cellStyle name="Normal 6 11 4 12" xfId="9109" xr:uid="{84D2407C-5A12-4340-9A28-72CF17523BBA}"/>
    <cellStyle name="Normal 6 11 4 13" xfId="9110" xr:uid="{0EC95176-AB35-4D61-8382-3A53984A81FA}"/>
    <cellStyle name="Normal 6 11 4 14" xfId="9111" xr:uid="{0FEF27A7-340E-4764-B796-A16E5F67ADA8}"/>
    <cellStyle name="Normal 6 11 4 15" xfId="9112" xr:uid="{B1FAF4FE-1167-4034-A226-445A2E011BBD}"/>
    <cellStyle name="Normal 6 11 4 16" xfId="9113" xr:uid="{5B477A0E-EAFD-44ED-80B7-E61134DEDA69}"/>
    <cellStyle name="Normal 6 11 4 17" xfId="9114" xr:uid="{008615C4-350B-411E-80FF-63E1A7CE3899}"/>
    <cellStyle name="Normal 6 11 4 18" xfId="9115" xr:uid="{A1A1FFF2-0AE1-4173-81EB-C335AEF33864}"/>
    <cellStyle name="Normal 6 11 4 19" xfId="9116" xr:uid="{42D5E60C-2E90-4369-9E97-5D158B1DAE0E}"/>
    <cellStyle name="Normal 6 11 4 2" xfId="9117" xr:uid="{BC170F8E-63EC-416C-9520-138FA168120C}"/>
    <cellStyle name="Normal 6 11 4 2 10" xfId="9118" xr:uid="{CAB36FB3-3EE0-4DEA-BE47-ED373CAB0B41}"/>
    <cellStyle name="Normal 6 11 4 2 11" xfId="9119" xr:uid="{6F8AC565-D6A9-44B1-AA48-60B62805D3A0}"/>
    <cellStyle name="Normal 6 11 4 2 12" xfId="9120" xr:uid="{2FB6BC96-B6CE-481A-B2CD-526F5D0EBCCE}"/>
    <cellStyle name="Normal 6 11 4 2 13" xfId="9121" xr:uid="{CC6DDC13-6758-4E9B-8CDA-4068F4970981}"/>
    <cellStyle name="Normal 6 11 4 2 14" xfId="9122" xr:uid="{36FBD22E-14EC-4328-BB6D-DD0320EBB440}"/>
    <cellStyle name="Normal 6 11 4 2 15" xfId="9123" xr:uid="{15828BE1-BEFF-4C4E-9A7B-D65FE3DA819F}"/>
    <cellStyle name="Normal 6 11 4 2 16" xfId="9124" xr:uid="{7C73202C-1618-48F7-8C8A-98D528989B1C}"/>
    <cellStyle name="Normal 6 11 4 2 17" xfId="9125" xr:uid="{A85CFA38-3DC0-4316-BA14-2A3633B2D968}"/>
    <cellStyle name="Normal 6 11 4 2 18" xfId="9126" xr:uid="{5B245D4F-0C6B-425D-AC35-82973AD6AE29}"/>
    <cellStyle name="Normal 6 11 4 2 19" xfId="9127" xr:uid="{356FEDFC-C1CC-4C03-A409-4BA7D36BFB8D}"/>
    <cellStyle name="Normal 6 11 4 2 2" xfId="9128" xr:uid="{6C205ABA-FBA7-4714-8368-12F500887490}"/>
    <cellStyle name="Normal 6 11 4 2 20" xfId="9129" xr:uid="{675C53F1-79CA-4338-92C1-7B91CAC28C34}"/>
    <cellStyle name="Normal 6 11 4 2 21" xfId="9130" xr:uid="{612B370F-975D-4131-AB39-40D26C0C262C}"/>
    <cellStyle name="Normal 6 11 4 2 22" xfId="9131" xr:uid="{3975D8AD-607A-4BA4-ABF9-0365A4959114}"/>
    <cellStyle name="Normal 6 11 4 2 23" xfId="9132" xr:uid="{D0093886-22E9-4FFE-A16F-6031748E3C16}"/>
    <cellStyle name="Normal 6 11 4 2 24" xfId="9133" xr:uid="{F8825472-630E-469E-B4FE-16BC4E1EB078}"/>
    <cellStyle name="Normal 6 11 4 2 25" xfId="9134" xr:uid="{C6E896FF-F349-4ACA-BAB1-D9B967B8650E}"/>
    <cellStyle name="Normal 6 11 4 2 26" xfId="9135" xr:uid="{38E874C3-5CB0-4685-AA73-4ECE175A5FE9}"/>
    <cellStyle name="Normal 6 11 4 2 3" xfId="9136" xr:uid="{8DEDF5D0-0600-4A1B-8C9A-9FEB77242193}"/>
    <cellStyle name="Normal 6 11 4 2 4" xfId="9137" xr:uid="{A89FBC3C-2D66-4C50-97A1-9CF96AF9922D}"/>
    <cellStyle name="Normal 6 11 4 2 5" xfId="9138" xr:uid="{7234773B-58D2-4823-A780-8DBFFB7CF885}"/>
    <cellStyle name="Normal 6 11 4 2 6" xfId="9139" xr:uid="{0364D692-8EDF-4982-A2B6-7CBEA6CCC59F}"/>
    <cellStyle name="Normal 6 11 4 2 7" xfId="9140" xr:uid="{DF00631B-90B7-4056-9D54-88BDDB381EE0}"/>
    <cellStyle name="Normal 6 11 4 2 8" xfId="9141" xr:uid="{8C4D828E-232F-4BA7-AE12-05962B72D7D3}"/>
    <cellStyle name="Normal 6 11 4 2 9" xfId="9142" xr:uid="{095ECF73-FAA2-40D5-B47B-1D45386E406C}"/>
    <cellStyle name="Normal 6 11 4 2_Manual Consol" xfId="9143" xr:uid="{F7905A42-CA62-4FD1-AE81-31F5E1EEAD4D}"/>
    <cellStyle name="Normal 6 11 4 20" xfId="9144" xr:uid="{B1889D55-B09F-41DF-B003-F2AA6FFF3087}"/>
    <cellStyle name="Normal 6 11 4 21" xfId="9145" xr:uid="{B92CBF61-6512-4CC5-8A73-28B5986CB28B}"/>
    <cellStyle name="Normal 6 11 4 22" xfId="9146" xr:uid="{4D1440DF-0926-4710-85FB-232FA0D1E46C}"/>
    <cellStyle name="Normal 6 11 4 23" xfId="9147" xr:uid="{FA5C488E-C990-4435-96BE-6E4400257376}"/>
    <cellStyle name="Normal 6 11 4 24" xfId="9148" xr:uid="{F618F505-1376-4116-AE9E-853733238A09}"/>
    <cellStyle name="Normal 6 11 4 25" xfId="9149" xr:uid="{A195FE9A-06A1-4F2B-90FA-BCD4FCDAAA0B}"/>
    <cellStyle name="Normal 6 11 4 26" xfId="9150" xr:uid="{7CECA3A0-D413-4B39-9705-996472D5F9CE}"/>
    <cellStyle name="Normal 6 11 4 27" xfId="9151" xr:uid="{87F39CBB-1F3A-41CE-A0EC-1F0E112715C3}"/>
    <cellStyle name="Normal 6 11 4 3" xfId="9152" xr:uid="{B2DAE91B-D5FD-4AC7-9E3D-F4106E3B2942}"/>
    <cellStyle name="Normal 6 11 4 4" xfId="9153" xr:uid="{33D108AA-176E-47C3-A368-C9B869E16427}"/>
    <cellStyle name="Normal 6 11 4 5" xfId="9154" xr:uid="{09F2FE37-2751-4F1E-B1DC-348F573461FC}"/>
    <cellStyle name="Normal 6 11 4 6" xfId="9155" xr:uid="{51D0D70A-70CD-45B1-AB39-8E08A3F3CBD6}"/>
    <cellStyle name="Normal 6 11 4 7" xfId="9156" xr:uid="{B2DA5580-652A-42C6-8544-9B2089CD6947}"/>
    <cellStyle name="Normal 6 11 4 8" xfId="9157" xr:uid="{C3217F29-A635-4405-B1E5-F8C338CD48A9}"/>
    <cellStyle name="Normal 6 11 4 9" xfId="9158" xr:uid="{945AC0D2-2059-4CFA-B311-F95CA6010FE2}"/>
    <cellStyle name="Normal 6 11 4_Manual Consol" xfId="9159" xr:uid="{583E9FD9-7843-40E4-92FA-4B57C1AA6522}"/>
    <cellStyle name="Normal 6 11 5" xfId="9160" xr:uid="{BC6B1002-E818-4CDC-ADE1-706B360E2B74}"/>
    <cellStyle name="Normal 6 11 5 10" xfId="9161" xr:uid="{3D77CCB9-CE23-43BE-BE71-7EFD559051DB}"/>
    <cellStyle name="Normal 6 11 5 11" xfId="9162" xr:uid="{B17FC7CF-E6C3-41FA-A328-932BFDAA6BE5}"/>
    <cellStyle name="Normal 6 11 5 12" xfId="9163" xr:uid="{E30A5FD0-BC8D-4AF2-9552-8FD650EA6655}"/>
    <cellStyle name="Normal 6 11 5 13" xfId="9164" xr:uid="{8FCF798B-AD0C-4CC4-BD7A-E61CD3651CC8}"/>
    <cellStyle name="Normal 6 11 5 14" xfId="9165" xr:uid="{A5D8A307-8503-48B4-B2DE-2517B3DA813C}"/>
    <cellStyle name="Normal 6 11 5 15" xfId="9166" xr:uid="{A9C8C7B1-9DC1-44F4-AA54-3736A20B2B22}"/>
    <cellStyle name="Normal 6 11 5 16" xfId="9167" xr:uid="{F662B54D-FF40-4E04-88CD-7BC7C0CFB920}"/>
    <cellStyle name="Normal 6 11 5 17" xfId="9168" xr:uid="{6C2983BE-E982-4D10-ACE4-9915BC9AE733}"/>
    <cellStyle name="Normal 6 11 5 18" xfId="9169" xr:uid="{CAEA7919-7A98-498C-9590-894F31781F43}"/>
    <cellStyle name="Normal 6 11 5 19" xfId="9170" xr:uid="{88941B3F-871F-4367-80DA-773B29A8BE4C}"/>
    <cellStyle name="Normal 6 11 5 2" xfId="9171" xr:uid="{B4A7F71B-BAF5-425A-A3BD-A1F348E7C5FC}"/>
    <cellStyle name="Normal 6 11 5 20" xfId="9172" xr:uid="{7E714EFB-1C1B-4043-AEFE-6A1D0894C43C}"/>
    <cellStyle name="Normal 6 11 5 21" xfId="9173" xr:uid="{62899E9B-75CC-44A4-8AB0-DD00BBC43775}"/>
    <cellStyle name="Normal 6 11 5 22" xfId="9174" xr:uid="{FFAA5313-CF1A-4945-A6BB-0FEED5A57674}"/>
    <cellStyle name="Normal 6 11 5 23" xfId="9175" xr:uid="{59CE9ABF-31F4-4BD1-9BA6-559AD571456A}"/>
    <cellStyle name="Normal 6 11 5 24" xfId="9176" xr:uid="{AAE5D3F6-EC4D-481F-81CC-EDA7C90E057E}"/>
    <cellStyle name="Normal 6 11 5 25" xfId="9177" xr:uid="{D1178D3A-4B92-4DE2-83C0-081A35583313}"/>
    <cellStyle name="Normal 6 11 5 26" xfId="9178" xr:uid="{86E2D4D4-6FD5-41E6-9AD9-8800E8FFE107}"/>
    <cellStyle name="Normal 6 11 5 3" xfId="9179" xr:uid="{4BE03E03-B91D-4A7E-9F9C-1263C787B38A}"/>
    <cellStyle name="Normal 6 11 5 4" xfId="9180" xr:uid="{E860BFBD-849A-43D0-AF40-11E22672A523}"/>
    <cellStyle name="Normal 6 11 5 5" xfId="9181" xr:uid="{C9311EAB-2C3C-48C6-BEC2-81641898B25D}"/>
    <cellStyle name="Normal 6 11 5 6" xfId="9182" xr:uid="{367C6506-ED04-4F9F-B34F-408BDA8FD8E2}"/>
    <cellStyle name="Normal 6 11 5 7" xfId="9183" xr:uid="{3AF87136-907A-4B52-B1D6-82EB3EC80882}"/>
    <cellStyle name="Normal 6 11 5 8" xfId="9184" xr:uid="{F67914A2-2208-41F1-9F62-3192729A924E}"/>
    <cellStyle name="Normal 6 11 5 9" xfId="9185" xr:uid="{0A8CA4DC-D2FA-4E43-A37C-31042A94AAB8}"/>
    <cellStyle name="Normal 6 11 5_Manual Consol" xfId="9186" xr:uid="{4389BD60-0614-4262-9EE2-AE55E5E81C42}"/>
    <cellStyle name="Normal 6 11 6" xfId="9187" xr:uid="{F41CE738-9D89-492C-BCF9-849F88B2F8A8}"/>
    <cellStyle name="Normal 6 11 6 10" xfId="9188" xr:uid="{3EA184A2-EDC1-4168-BD77-141C9890A2EF}"/>
    <cellStyle name="Normal 6 11 6 11" xfId="9189" xr:uid="{5D6FD7F2-8EF8-4765-BB6F-CE8051BA71FA}"/>
    <cellStyle name="Normal 6 11 6 12" xfId="9190" xr:uid="{41F852F1-45D2-45E6-8431-C7C853CB637C}"/>
    <cellStyle name="Normal 6 11 6 13" xfId="9191" xr:uid="{6922A867-73A7-4F27-BFC6-0DB04E08C832}"/>
    <cellStyle name="Normal 6 11 6 14" xfId="9192" xr:uid="{05FC5E8C-D913-4F20-BFE0-5E1FF3497EA6}"/>
    <cellStyle name="Normal 6 11 6 15" xfId="9193" xr:uid="{EA69B79B-1E6C-4A4D-9EBA-28F268EC51A1}"/>
    <cellStyle name="Normal 6 11 6 16" xfId="9194" xr:uid="{3CB56FB6-612A-483D-AEAC-342BC9DBC196}"/>
    <cellStyle name="Normal 6 11 6 17" xfId="9195" xr:uid="{B5B985D2-7EE3-4ABC-8550-94BD3DA5F461}"/>
    <cellStyle name="Normal 6 11 6 18" xfId="9196" xr:uid="{8DE6AA21-597B-4CCA-93C3-7352B09EFD05}"/>
    <cellStyle name="Normal 6 11 6 19" xfId="9197" xr:uid="{337A1C9A-36CE-4E65-ADAE-6753885B2321}"/>
    <cellStyle name="Normal 6 11 6 2" xfId="9198" xr:uid="{BEDAA668-97D7-4D23-A93D-517E567C1152}"/>
    <cellStyle name="Normal 6 11 6 20" xfId="9199" xr:uid="{AA3F4629-D7F7-4921-AEF5-0DC40DD90866}"/>
    <cellStyle name="Normal 6 11 6 21" xfId="9200" xr:uid="{1CFABB12-0E4B-41CD-B8F3-D3FC2B5DE55C}"/>
    <cellStyle name="Normal 6 11 6 22" xfId="9201" xr:uid="{B1F70ECF-9A04-41BE-97A9-7D13985486A2}"/>
    <cellStyle name="Normal 6 11 6 23" xfId="9202" xr:uid="{EC09AA72-B0A4-4945-84A5-47996B96E102}"/>
    <cellStyle name="Normal 6 11 6 24" xfId="9203" xr:uid="{29D82B33-7CD5-4774-9792-32737B1F2A3C}"/>
    <cellStyle name="Normal 6 11 6 25" xfId="9204" xr:uid="{A7DCCF66-17C5-43D1-BF15-E5E229BFB514}"/>
    <cellStyle name="Normal 6 11 6 26" xfId="9205" xr:uid="{3F3A0554-E83D-4E9F-95B9-329ED301D6D1}"/>
    <cellStyle name="Normal 6 11 6 3" xfId="9206" xr:uid="{BB6D9E24-EA3A-413A-959D-094AB5AE8A71}"/>
    <cellStyle name="Normal 6 11 6 4" xfId="9207" xr:uid="{EEC5C067-8E4E-4D43-9FD9-9DEE708E93A4}"/>
    <cellStyle name="Normal 6 11 6 5" xfId="9208" xr:uid="{5CCCD42B-14D1-486F-92E1-A45AB535D0EC}"/>
    <cellStyle name="Normal 6 11 6 6" xfId="9209" xr:uid="{5F334F39-BB3F-4351-B60A-E76B2E2834DD}"/>
    <cellStyle name="Normal 6 11 6 7" xfId="9210" xr:uid="{3091F8B6-40F5-4A46-95DB-7492D357BFAD}"/>
    <cellStyle name="Normal 6 11 6 8" xfId="9211" xr:uid="{B052BE63-B365-4FC5-B68E-9659CE0A3157}"/>
    <cellStyle name="Normal 6 11 6 9" xfId="9212" xr:uid="{6980A42C-3BA4-4F16-A3C2-A99FC11F79F2}"/>
    <cellStyle name="Normal 6 11 6_Manual Consol" xfId="9213" xr:uid="{7CCC282C-5B37-4AB6-819C-4D34EBB840CD}"/>
    <cellStyle name="Normal 6 11 7" xfId="9214" xr:uid="{A142023B-7422-4422-A1D2-16490B1607E5}"/>
    <cellStyle name="Normal 6 11 7 10" xfId="9215" xr:uid="{AC8B0D73-11A0-462A-B9E7-20996CA193C4}"/>
    <cellStyle name="Normal 6 11 7 11" xfId="9216" xr:uid="{88414AE1-EBA6-4C4D-93AE-50FC40D5E759}"/>
    <cellStyle name="Normal 6 11 7 12" xfId="9217" xr:uid="{EBD9C1DA-D4F5-4AE5-ADCB-C7D2F5135863}"/>
    <cellStyle name="Normal 6 11 7 13" xfId="9218" xr:uid="{13DD3D84-A8EA-4B5B-B152-BD2678ACECF9}"/>
    <cellStyle name="Normal 6 11 7 14" xfId="9219" xr:uid="{9F85E91B-46EF-47B0-AA85-4D521B5BCAC6}"/>
    <cellStyle name="Normal 6 11 7 15" xfId="9220" xr:uid="{48EA8052-B749-41CD-8A79-557045767350}"/>
    <cellStyle name="Normal 6 11 7 16" xfId="9221" xr:uid="{05D66873-9DB6-460F-BB04-2775AA81793F}"/>
    <cellStyle name="Normal 6 11 7 17" xfId="9222" xr:uid="{B4DF866A-02DD-4556-A2C2-083FC69737E7}"/>
    <cellStyle name="Normal 6 11 7 18" xfId="9223" xr:uid="{F3ECAC29-76D8-4D89-9BCC-341B44F04A75}"/>
    <cellStyle name="Normal 6 11 7 19" xfId="9224" xr:uid="{E2FF0CC6-4FBA-47BF-895C-A75CADD4258D}"/>
    <cellStyle name="Normal 6 11 7 2" xfId="9225" xr:uid="{B7CF2531-DB76-4F98-AA18-DEE04DDE7A0B}"/>
    <cellStyle name="Normal 6 11 7 20" xfId="9226" xr:uid="{1001D1FE-0533-4A3F-94E8-4A3C21724279}"/>
    <cellStyle name="Normal 6 11 7 21" xfId="9227" xr:uid="{0C689C45-B8F5-4A80-8446-55762B232A6F}"/>
    <cellStyle name="Normal 6 11 7 22" xfId="9228" xr:uid="{1516C73B-C9F3-42DC-A27E-40189EFC0600}"/>
    <cellStyle name="Normal 6 11 7 23" xfId="9229" xr:uid="{0E46F053-01EF-4EAF-87A2-B71C8A6998AF}"/>
    <cellStyle name="Normal 6 11 7 24" xfId="9230" xr:uid="{64839C20-405D-4429-8246-7F87CCA0DE75}"/>
    <cellStyle name="Normal 6 11 7 25" xfId="9231" xr:uid="{CB898DAB-8289-43D0-9E10-AE75BC923712}"/>
    <cellStyle name="Normal 6 11 7 26" xfId="9232" xr:uid="{65820EB5-E4EB-4FE3-A475-A17C9795E6FA}"/>
    <cellStyle name="Normal 6 11 7 3" xfId="9233" xr:uid="{71C7CF70-D87D-4F75-B8A5-453C708D93AF}"/>
    <cellStyle name="Normal 6 11 7 4" xfId="9234" xr:uid="{BC71FA80-69CC-48F6-BA84-E999A456B88C}"/>
    <cellStyle name="Normal 6 11 7 5" xfId="9235" xr:uid="{08D5D55A-EAAB-4C8A-9D46-4A327DE0CE6C}"/>
    <cellStyle name="Normal 6 11 7 6" xfId="9236" xr:uid="{535576A8-2B33-4650-95E9-F3D2459E87CC}"/>
    <cellStyle name="Normal 6 11 7 7" xfId="9237" xr:uid="{4328A238-C784-4650-9828-F77EA59F6A55}"/>
    <cellStyle name="Normal 6 11 7 8" xfId="9238" xr:uid="{0930D37D-0560-48E9-AF66-DD9F9C4D8E64}"/>
    <cellStyle name="Normal 6 11 7 9" xfId="9239" xr:uid="{10B4EF87-8A83-4DE4-9F39-A2C64B18FD5D}"/>
    <cellStyle name="Normal 6 11 7_Manual Consol" xfId="9240" xr:uid="{D2E8388F-EAB6-4D79-89CD-F76523158F6E}"/>
    <cellStyle name="Normal 6 11 8" xfId="9241" xr:uid="{2191A23A-6029-4581-B243-3FD0133A7197}"/>
    <cellStyle name="Normal 6 11 8 10" xfId="9242" xr:uid="{6081E608-3B05-4BC1-9662-6ED56BAFFAA7}"/>
    <cellStyle name="Normal 6 11 8 11" xfId="9243" xr:uid="{57D137BC-AE9D-4F88-9B49-D3490E7F6B59}"/>
    <cellStyle name="Normal 6 11 8 12" xfId="9244" xr:uid="{E9635335-C70D-4B56-841D-EF388D44AD1A}"/>
    <cellStyle name="Normal 6 11 8 13" xfId="9245" xr:uid="{8404AC99-4113-4AB5-943B-747A99DBD705}"/>
    <cellStyle name="Normal 6 11 8 14" xfId="9246" xr:uid="{72742296-262B-4CB5-A75D-A15E7447C2F5}"/>
    <cellStyle name="Normal 6 11 8 15" xfId="9247" xr:uid="{7B0DDA52-0BA0-4EAA-AB6F-D6AF06460566}"/>
    <cellStyle name="Normal 6 11 8 16" xfId="9248" xr:uid="{64947476-BD0A-404E-A432-A3E4BCA1AEFA}"/>
    <cellStyle name="Normal 6 11 8 17" xfId="9249" xr:uid="{D18D3F92-8812-4F58-BB22-65D7A90E2145}"/>
    <cellStyle name="Normal 6 11 8 18" xfId="9250" xr:uid="{60A6268C-9980-4AFC-8DAF-6E220F419722}"/>
    <cellStyle name="Normal 6 11 8 19" xfId="9251" xr:uid="{0F10E9A9-6C1A-4B9F-9B40-220CA59E54A7}"/>
    <cellStyle name="Normal 6 11 8 2" xfId="9252" xr:uid="{9785E518-5DAF-4A5B-8F9A-AB75E83B536C}"/>
    <cellStyle name="Normal 6 11 8 20" xfId="9253" xr:uid="{FF368ACD-B06C-4466-A71B-3AE1755D6268}"/>
    <cellStyle name="Normal 6 11 8 21" xfId="9254" xr:uid="{4DA1C0A1-182A-4658-B41F-ECBC37D62901}"/>
    <cellStyle name="Normal 6 11 8 22" xfId="9255" xr:uid="{58DABF8B-DEF2-4115-9ABD-353062160131}"/>
    <cellStyle name="Normal 6 11 8 23" xfId="9256" xr:uid="{66552023-D0BD-44CF-BE3E-C009DDAF1ECD}"/>
    <cellStyle name="Normal 6 11 8 24" xfId="9257" xr:uid="{17E025AF-098C-4689-BFCB-171B12FA7C33}"/>
    <cellStyle name="Normal 6 11 8 25" xfId="9258" xr:uid="{DE5ADB82-A286-4D31-831E-F574972B1522}"/>
    <cellStyle name="Normal 6 11 8 26" xfId="9259" xr:uid="{8E6841C5-B667-4CBC-8074-69C0CD165140}"/>
    <cellStyle name="Normal 6 11 8 3" xfId="9260" xr:uid="{6DD9FE1C-CB38-4049-8B90-9C418E017412}"/>
    <cellStyle name="Normal 6 11 8 4" xfId="9261" xr:uid="{E8D68FA8-364D-4D1D-A78F-A8772D5B18B1}"/>
    <cellStyle name="Normal 6 11 8 5" xfId="9262" xr:uid="{41ACD814-22F2-47F9-B230-ABDA86E10B67}"/>
    <cellStyle name="Normal 6 11 8 6" xfId="9263" xr:uid="{7D0B990C-DE4F-42E2-8BFE-219F22F80B79}"/>
    <cellStyle name="Normal 6 11 8 7" xfId="9264" xr:uid="{2BBB416C-70D8-4C2E-AF9E-61054161FB1F}"/>
    <cellStyle name="Normal 6 11 8 8" xfId="9265" xr:uid="{AA8A0769-061F-49EE-BB05-30718F5EE8A6}"/>
    <cellStyle name="Normal 6 11 8 9" xfId="9266" xr:uid="{4EFF49C3-052D-442C-9CD7-8D0EB68388D3}"/>
    <cellStyle name="Normal 6 11 8_Manual Consol" xfId="9267" xr:uid="{E917D02A-A3B2-4396-87D8-E1BF69175404}"/>
    <cellStyle name="Normal 6 11 9" xfId="9268" xr:uid="{4ECB7581-B772-458A-8992-AF42514C9CE7}"/>
    <cellStyle name="Normal 6 11 9 10" xfId="9269" xr:uid="{A82852AE-2000-4EBE-8A6A-899F08417A1D}"/>
    <cellStyle name="Normal 6 11 9 11" xfId="9270" xr:uid="{4AD76A9C-B055-4509-94F4-B213D977EA13}"/>
    <cellStyle name="Normal 6 11 9 12" xfId="9271" xr:uid="{32C0427C-5E74-4E71-B270-183DF4202EFF}"/>
    <cellStyle name="Normal 6 11 9 13" xfId="9272" xr:uid="{555773F1-1453-4755-BB54-FB62718990D5}"/>
    <cellStyle name="Normal 6 11 9 14" xfId="9273" xr:uid="{7831A619-1EF0-4A0E-8CA7-DEB79C0A0DDA}"/>
    <cellStyle name="Normal 6 11 9 15" xfId="9274" xr:uid="{48F9738D-EEA8-4944-925A-4146C8CD1A53}"/>
    <cellStyle name="Normal 6 11 9 16" xfId="9275" xr:uid="{BD4D924C-A080-4A25-B157-BB0AF333320B}"/>
    <cellStyle name="Normal 6 11 9 17" xfId="9276" xr:uid="{7806023B-57F9-4C03-9A8F-DE5F818F9255}"/>
    <cellStyle name="Normal 6 11 9 18" xfId="9277" xr:uid="{E7908A36-A648-4237-803C-EEC22408C89D}"/>
    <cellStyle name="Normal 6 11 9 19" xfId="9278" xr:uid="{AF4F35BB-3CDE-4D4F-A359-BF1FEEA3A307}"/>
    <cellStyle name="Normal 6 11 9 2" xfId="9279" xr:uid="{FF64670D-1487-488A-9C77-380D38CF6853}"/>
    <cellStyle name="Normal 6 11 9 20" xfId="9280" xr:uid="{856078B7-F9CB-44D8-BC38-030CEECBCA36}"/>
    <cellStyle name="Normal 6 11 9 21" xfId="9281" xr:uid="{92B9C02B-51B2-4DB9-BF8F-190F10BC2498}"/>
    <cellStyle name="Normal 6 11 9 22" xfId="9282" xr:uid="{38E79210-E5BD-46A1-B8D3-0758B098EF46}"/>
    <cellStyle name="Normal 6 11 9 23" xfId="9283" xr:uid="{2131CFF0-D7A8-46A3-AC21-47C0641D7CFE}"/>
    <cellStyle name="Normal 6 11 9 24" xfId="9284" xr:uid="{5E3EE4B6-4152-4D80-B77A-F6C9A5710748}"/>
    <cellStyle name="Normal 6 11 9 25" xfId="9285" xr:uid="{7AE9A138-C092-4AE8-BBCF-3ACA8B785A1B}"/>
    <cellStyle name="Normal 6 11 9 26" xfId="9286" xr:uid="{71EF4583-44A6-48A3-84A3-350D20E45DBF}"/>
    <cellStyle name="Normal 6 11 9 3" xfId="9287" xr:uid="{01BECC24-CB3F-4BD1-93AB-3052A33C3146}"/>
    <cellStyle name="Normal 6 11 9 4" xfId="9288" xr:uid="{4C6B87BC-7E76-4355-8DD1-796476CE90FD}"/>
    <cellStyle name="Normal 6 11 9 5" xfId="9289" xr:uid="{8D2906E5-ECF7-4B6B-B846-E7812B94189C}"/>
    <cellStyle name="Normal 6 11 9 6" xfId="9290" xr:uid="{0304D048-A4AC-4F67-BA8D-8B95875D5990}"/>
    <cellStyle name="Normal 6 11 9 7" xfId="9291" xr:uid="{0EB26FCC-E96F-4986-9637-F9F38E942B45}"/>
    <cellStyle name="Normal 6 11 9 8" xfId="9292" xr:uid="{CF7A5ABE-BA5D-4C46-92A3-385F8CE43748}"/>
    <cellStyle name="Normal 6 11 9 9" xfId="9293" xr:uid="{88D03343-1F91-4813-BFA7-C5B6AF6CE65E}"/>
    <cellStyle name="Normal 6 11 9_Manual Consol" xfId="9294" xr:uid="{2A29C586-DD9B-4117-9ACB-32B4950873D5}"/>
    <cellStyle name="Normal 6 11_Adjusted bridges" xfId="11120" xr:uid="{07FB0D30-4AA7-4F63-825B-78086E2C818E}"/>
    <cellStyle name="Normal 6 12" xfId="4381" xr:uid="{00000000-0005-0000-0000-000081110000}"/>
    <cellStyle name="Normal 6 12 10" xfId="9295" xr:uid="{57E17306-16B0-43C0-9A8B-81FE2EE2A147}"/>
    <cellStyle name="Normal 6 12 10 10" xfId="9296" xr:uid="{66ED04DA-88C2-4AAE-8B71-4934629E2368}"/>
    <cellStyle name="Normal 6 12 10 11" xfId="9297" xr:uid="{A135AD59-AA39-4A9B-859B-7B1523A1C35B}"/>
    <cellStyle name="Normal 6 12 10 12" xfId="9298" xr:uid="{69D5C8B6-4ACD-4EEA-9147-EEBC744AD520}"/>
    <cellStyle name="Normal 6 12 10 13" xfId="9299" xr:uid="{1498747C-FE16-471E-979C-CE0F09123491}"/>
    <cellStyle name="Normal 6 12 10 14" xfId="9300" xr:uid="{70AFEB66-5D9F-4D68-8EBF-B2B932232CE3}"/>
    <cellStyle name="Normal 6 12 10 15" xfId="9301" xr:uid="{52F59E59-46DD-421C-AF49-89A01AAA744C}"/>
    <cellStyle name="Normal 6 12 10 16" xfId="9302" xr:uid="{4991D68B-1DCB-4AFB-AF9B-C142F1578FBA}"/>
    <cellStyle name="Normal 6 12 10 17" xfId="9303" xr:uid="{8EDFABD0-7652-4887-8FAB-02BE3786AC6E}"/>
    <cellStyle name="Normal 6 12 10 18" xfId="9304" xr:uid="{1FAFABC1-FB22-4444-9BBC-121A6A770715}"/>
    <cellStyle name="Normal 6 12 10 19" xfId="9305" xr:uid="{6644FFD3-EA1A-4D28-B7D0-72A4F3FCC166}"/>
    <cellStyle name="Normal 6 12 10 2" xfId="9306" xr:uid="{B7FB1176-69B8-48E4-B474-8D7F75BB08C3}"/>
    <cellStyle name="Normal 6 12 10 20" xfId="9307" xr:uid="{56BE8E71-1638-417C-9A4D-F4D943E87FE2}"/>
    <cellStyle name="Normal 6 12 10 21" xfId="9308" xr:uid="{220B50DF-D29D-41CA-A6DA-47D56E98C5CC}"/>
    <cellStyle name="Normal 6 12 10 22" xfId="9309" xr:uid="{BE89C042-E103-4D14-B70D-C6CCDE965530}"/>
    <cellStyle name="Normal 6 12 10 23" xfId="9310" xr:uid="{71175D8B-5814-4A56-A79F-C995D636546C}"/>
    <cellStyle name="Normal 6 12 10 24" xfId="9311" xr:uid="{3BCDDC12-FDEF-4DE6-B2E6-15EFE422F44E}"/>
    <cellStyle name="Normal 6 12 10 25" xfId="9312" xr:uid="{4402BCD3-B476-4AB5-B67D-A07EB827C3E0}"/>
    <cellStyle name="Normal 6 12 10 26" xfId="9313" xr:uid="{0F8697EE-1127-4465-8AF9-A4372ED1788D}"/>
    <cellStyle name="Normal 6 12 10 3" xfId="9314" xr:uid="{81BBA649-D87F-47E5-A079-C14194A163D8}"/>
    <cellStyle name="Normal 6 12 10 4" xfId="9315" xr:uid="{7AB468A1-B67E-45B3-B09D-963E03AEB046}"/>
    <cellStyle name="Normal 6 12 10 5" xfId="9316" xr:uid="{13E041FB-7425-41C9-AE44-44D4B4DDF18B}"/>
    <cellStyle name="Normal 6 12 10 6" xfId="9317" xr:uid="{265375D0-8883-4924-BEBA-7DC3FA7AB3B3}"/>
    <cellStyle name="Normal 6 12 10 7" xfId="9318" xr:uid="{0CACC22B-DEB3-49A5-A21C-94556C91A395}"/>
    <cellStyle name="Normal 6 12 10 8" xfId="9319" xr:uid="{FFFC8200-87C6-4780-BE53-53A156720DD7}"/>
    <cellStyle name="Normal 6 12 10 9" xfId="9320" xr:uid="{A0795BAA-9085-49D7-816E-AAA8C48D0EF1}"/>
    <cellStyle name="Normal 6 12 10_Manual Consol" xfId="9321" xr:uid="{3AC5EE10-55F1-452C-B542-6CC51D79DB6D}"/>
    <cellStyle name="Normal 6 12 11" xfId="9322" xr:uid="{5F7DFB81-C113-4051-A615-F9C6C2F8CCF4}"/>
    <cellStyle name="Normal 6 12 12" xfId="9323" xr:uid="{C46856D5-BF55-42E2-9DF0-37AC8AABE266}"/>
    <cellStyle name="Normal 6 12 13" xfId="9324" xr:uid="{FC3C4E41-726A-4AB1-BB19-67304A64D377}"/>
    <cellStyle name="Normal 6 12 14" xfId="9325" xr:uid="{95D47116-69C9-48F9-8B40-5D120CB41ED3}"/>
    <cellStyle name="Normal 6 12 15" xfId="9326" xr:uid="{3F67FDB0-A89B-4657-AFD8-9D81AEE2F705}"/>
    <cellStyle name="Normal 6 12 16" xfId="9327" xr:uid="{096AB492-F599-43E1-9A7A-8AD9FA58FCC5}"/>
    <cellStyle name="Normal 6 12 17" xfId="9328" xr:uid="{D857F8EE-3142-4BC8-85CF-CB517865E821}"/>
    <cellStyle name="Normal 6 12 18" xfId="9329" xr:uid="{C95933EF-5C0F-4B25-B5BE-E060803286BB}"/>
    <cellStyle name="Normal 6 12 19" xfId="9330" xr:uid="{D7314964-A5DF-42F8-8088-0BCB6D5813FA}"/>
    <cellStyle name="Normal 6 12 2" xfId="9331" xr:uid="{39BC553F-2298-4C38-947D-2EA206790CB0}"/>
    <cellStyle name="Normal 6 12 2 10" xfId="9332" xr:uid="{510D2569-1822-49E0-B797-368D0B0CE407}"/>
    <cellStyle name="Normal 6 12 2 11" xfId="9333" xr:uid="{5AAEABF6-3316-45C2-9053-6DA3933AA519}"/>
    <cellStyle name="Normal 6 12 2 12" xfId="9334" xr:uid="{211B1934-9583-4050-9B15-F9A72B9E653C}"/>
    <cellStyle name="Normal 6 12 2 13" xfId="9335" xr:uid="{40A4AD4E-C7BE-457C-A791-3D04AE585234}"/>
    <cellStyle name="Normal 6 12 2 14" xfId="9336" xr:uid="{103F89E0-3133-43B0-AE57-A819EF029F8C}"/>
    <cellStyle name="Normal 6 12 2 15" xfId="9337" xr:uid="{00EA0675-50AB-4331-90AA-6732815BF9E9}"/>
    <cellStyle name="Normal 6 12 2 16" xfId="9338" xr:uid="{8D15EC03-03E9-4DF4-864B-715E85BCF546}"/>
    <cellStyle name="Normal 6 12 2 17" xfId="9339" xr:uid="{F982F2CB-6D09-44BE-8F90-5D15A87D0EDE}"/>
    <cellStyle name="Normal 6 12 2 18" xfId="9340" xr:uid="{720D1483-19DA-4BDC-81F7-F1C1FBCF760D}"/>
    <cellStyle name="Normal 6 12 2 19" xfId="9341" xr:uid="{2B8D38E9-A7EC-444F-A38D-FBDE96388ADF}"/>
    <cellStyle name="Normal 6 12 2 2" xfId="9342" xr:uid="{8FD76D15-11A8-43D7-8874-D02C1A9B3C52}"/>
    <cellStyle name="Normal 6 12 2 2 10" xfId="9343" xr:uid="{3ADD6A0F-A72E-4B64-94CD-E232BE3F2C72}"/>
    <cellStyle name="Normal 6 12 2 2 11" xfId="9344" xr:uid="{31420B65-2F74-4A4F-A793-3050BB579E7D}"/>
    <cellStyle name="Normal 6 12 2 2 12" xfId="9345" xr:uid="{69783E1F-1D6C-4A39-AFB3-94DD5B6EEB66}"/>
    <cellStyle name="Normal 6 12 2 2 13" xfId="9346" xr:uid="{DA599CDD-4C34-474D-85BC-A8C98CDEB77E}"/>
    <cellStyle name="Normal 6 12 2 2 14" xfId="9347" xr:uid="{71161761-C815-4F9B-9C98-6F47121E37C6}"/>
    <cellStyle name="Normal 6 12 2 2 15" xfId="9348" xr:uid="{ACF3AD4F-3653-4212-8751-0D96DACD894A}"/>
    <cellStyle name="Normal 6 12 2 2 16" xfId="9349" xr:uid="{832A5421-45A5-46FD-96F7-894C8BFC84F3}"/>
    <cellStyle name="Normal 6 12 2 2 17" xfId="9350" xr:uid="{4A5364CF-4A8F-4D5B-8685-968B49A6716A}"/>
    <cellStyle name="Normal 6 12 2 2 18" xfId="9351" xr:uid="{C025A65B-373A-49AE-82FE-7D8294978AFE}"/>
    <cellStyle name="Normal 6 12 2 2 19" xfId="9352" xr:uid="{768A6D4B-4262-4442-8F1A-11998A3048A4}"/>
    <cellStyle name="Normal 6 12 2 2 2" xfId="9353" xr:uid="{FCB664FD-71A7-48A9-8960-5F55EFA9C69F}"/>
    <cellStyle name="Normal 6 12 2 2 20" xfId="9354" xr:uid="{8EB83895-2924-4695-8BA3-083A7A4F8A73}"/>
    <cellStyle name="Normal 6 12 2 2 21" xfId="9355" xr:uid="{D28725FA-3205-429F-BE9F-0A142DD04E45}"/>
    <cellStyle name="Normal 6 12 2 2 22" xfId="9356" xr:uid="{0075C432-F468-4D44-A2E6-0683428ECC33}"/>
    <cellStyle name="Normal 6 12 2 2 23" xfId="9357" xr:uid="{9C33B809-9443-4767-9830-0690AD822C97}"/>
    <cellStyle name="Normal 6 12 2 2 24" xfId="9358" xr:uid="{B0C0C98D-67DB-48D9-AEBE-135A10DDFA7E}"/>
    <cellStyle name="Normal 6 12 2 2 25" xfId="9359" xr:uid="{25F7850F-9C48-4C77-8690-573846D652FE}"/>
    <cellStyle name="Normal 6 12 2 2 26" xfId="9360" xr:uid="{5F30B97A-F128-4914-B74C-52748409DD0B}"/>
    <cellStyle name="Normal 6 12 2 2 3" xfId="9361" xr:uid="{6682F6C5-2ECD-4EF9-8663-BD1376C358CB}"/>
    <cellStyle name="Normal 6 12 2 2 4" xfId="9362" xr:uid="{F8A3DBFB-FD57-425C-BF1E-91A51D6A1D3C}"/>
    <cellStyle name="Normal 6 12 2 2 5" xfId="9363" xr:uid="{C159934D-ECF8-4317-A092-543587ECCAD3}"/>
    <cellStyle name="Normal 6 12 2 2 6" xfId="9364" xr:uid="{FA092689-7278-4A7B-918E-78894ABC96BA}"/>
    <cellStyle name="Normal 6 12 2 2 7" xfId="9365" xr:uid="{468559B4-D75A-4140-8562-6A4018355916}"/>
    <cellStyle name="Normal 6 12 2 2 8" xfId="9366" xr:uid="{B4A9C97B-04D7-4C21-9544-498BD0F3C9A7}"/>
    <cellStyle name="Normal 6 12 2 2 9" xfId="9367" xr:uid="{D45749DF-BAC9-4975-81E0-A2FCFE46505C}"/>
    <cellStyle name="Normal 6 12 2 2_Manual Consol" xfId="9368" xr:uid="{AE8DD260-8CA6-4AEE-B126-001F057DF693}"/>
    <cellStyle name="Normal 6 12 2 20" xfId="9369" xr:uid="{A3C936B5-B1C5-42E9-A0B4-A681D1169212}"/>
    <cellStyle name="Normal 6 12 2 21" xfId="9370" xr:uid="{F17840F7-6411-4E81-8890-F773A7BBA594}"/>
    <cellStyle name="Normal 6 12 2 22" xfId="9371" xr:uid="{0B37A8D9-C283-425C-9421-3771B176A0B7}"/>
    <cellStyle name="Normal 6 12 2 23" xfId="9372" xr:uid="{202C818E-D7E7-4099-BCAB-6028106C585D}"/>
    <cellStyle name="Normal 6 12 2 24" xfId="9373" xr:uid="{11ABAEF7-2B51-4FCE-B2F2-DE76D9D7F359}"/>
    <cellStyle name="Normal 6 12 2 25" xfId="9374" xr:uid="{3DF7AC60-286F-41B3-B353-00091E041BD5}"/>
    <cellStyle name="Normal 6 12 2 26" xfId="9375" xr:uid="{90B36A8E-96D4-4F6D-B282-2D573BE6EC24}"/>
    <cellStyle name="Normal 6 12 2 27" xfId="9376" xr:uid="{D7D7C4C9-CAF3-4552-B57A-33329A09B6D4}"/>
    <cellStyle name="Normal 6 12 2 28" xfId="9377" xr:uid="{A8DFAACA-019E-442E-9F38-6078006CF564}"/>
    <cellStyle name="Normal 6 12 2 29" xfId="9378" xr:uid="{9A237E41-B327-4A91-9A38-C0E8D03D78DA}"/>
    <cellStyle name="Normal 6 12 2 3" xfId="9379" xr:uid="{1F0BCDAA-8259-4BD3-A0B1-94EED64E8764}"/>
    <cellStyle name="Normal 6 12 2 3 10" xfId="9380" xr:uid="{F75C9C08-7962-40F8-AA2C-CEBE82525D77}"/>
    <cellStyle name="Normal 6 12 2 3 11" xfId="9381" xr:uid="{9D344640-FEA3-4114-B418-0D8B0F8889C6}"/>
    <cellStyle name="Normal 6 12 2 3 12" xfId="9382" xr:uid="{F4FF0D0D-DA6F-4CD3-A404-91BD01C14DDA}"/>
    <cellStyle name="Normal 6 12 2 3 13" xfId="9383" xr:uid="{594CE5D6-0F9B-4163-ACD6-E17F0EED2420}"/>
    <cellStyle name="Normal 6 12 2 3 14" xfId="9384" xr:uid="{67E2B941-4FF1-4690-BEF2-4DC4B735AE3E}"/>
    <cellStyle name="Normal 6 12 2 3 15" xfId="9385" xr:uid="{D7154CE7-AF3A-472E-814A-67C9D0AEA457}"/>
    <cellStyle name="Normal 6 12 2 3 16" xfId="9386" xr:uid="{1686EF27-D148-4E43-ABD5-671D74D1836D}"/>
    <cellStyle name="Normal 6 12 2 3 17" xfId="9387" xr:uid="{DE14CE87-9C06-4149-AC8F-038206D37C71}"/>
    <cellStyle name="Normal 6 12 2 3 18" xfId="9388" xr:uid="{D23D2BCA-5866-4EFF-93F9-1B324FDEBD59}"/>
    <cellStyle name="Normal 6 12 2 3 19" xfId="9389" xr:uid="{600827F9-E311-432A-8920-A32340F243AE}"/>
    <cellStyle name="Normal 6 12 2 3 2" xfId="9390" xr:uid="{AF5B344E-3CB0-41CA-884F-0F333A7AD9D0}"/>
    <cellStyle name="Normal 6 12 2 3 20" xfId="9391" xr:uid="{ADC471E3-5783-4D5D-9E8B-230245B343CB}"/>
    <cellStyle name="Normal 6 12 2 3 21" xfId="9392" xr:uid="{9B538DA1-F513-4841-9D09-A06C2D706617}"/>
    <cellStyle name="Normal 6 12 2 3 22" xfId="9393" xr:uid="{8BC49C72-1584-45E6-A2F5-5EA75A3F4A10}"/>
    <cellStyle name="Normal 6 12 2 3 23" xfId="9394" xr:uid="{BE3128CF-4795-4C5C-842F-D96221E05C43}"/>
    <cellStyle name="Normal 6 12 2 3 24" xfId="9395" xr:uid="{9565F9A1-D579-4CCE-8595-CCF07AF23FC0}"/>
    <cellStyle name="Normal 6 12 2 3 25" xfId="9396" xr:uid="{70177CBC-9F9B-4C19-B560-78AC0419D1AE}"/>
    <cellStyle name="Normal 6 12 2 3 26" xfId="9397" xr:uid="{12E95DEC-843D-43CD-9B84-C56ED847E4EF}"/>
    <cellStyle name="Normal 6 12 2 3 3" xfId="9398" xr:uid="{7746B1A0-9ABC-48B5-9B91-6883EDEEC06E}"/>
    <cellStyle name="Normal 6 12 2 3 4" xfId="9399" xr:uid="{2A300670-35F3-4319-8C77-EFDF721E1272}"/>
    <cellStyle name="Normal 6 12 2 3 5" xfId="9400" xr:uid="{89FBDD81-C5CF-4AAD-932D-98E149661516}"/>
    <cellStyle name="Normal 6 12 2 3 6" xfId="9401" xr:uid="{CECD884A-9EA0-4306-94BF-AAA344CBA5A3}"/>
    <cellStyle name="Normal 6 12 2 3 7" xfId="9402" xr:uid="{52BA6C71-AED5-4F70-B63C-A7E948CB82FA}"/>
    <cellStyle name="Normal 6 12 2 3 8" xfId="9403" xr:uid="{DB54343F-748A-475A-A184-5C5A7BD8158C}"/>
    <cellStyle name="Normal 6 12 2 3 9" xfId="9404" xr:uid="{725C3C52-532E-4C79-94C7-BEF1E457640D}"/>
    <cellStyle name="Normal 6 12 2 3_Manual Consol" xfId="9405" xr:uid="{61612487-5103-4CD7-926E-F5C81EB96998}"/>
    <cellStyle name="Normal 6 12 2 30" xfId="9406" xr:uid="{9233C288-0BE1-48ED-967B-15810CBF6F78}"/>
    <cellStyle name="Normal 6 12 2 31" xfId="9407" xr:uid="{069E8CDF-127C-42C7-81F0-48E4D6D4418D}"/>
    <cellStyle name="Normal 6 12 2 32" xfId="9408" xr:uid="{27E426F8-678E-4839-830D-B47ABDC7B791}"/>
    <cellStyle name="Normal 6 12 2 33" xfId="9409" xr:uid="{B99629FD-6637-429B-B785-454CF1684FD4}"/>
    <cellStyle name="Normal 6 12 2 4" xfId="9410" xr:uid="{FC5C887F-ACD5-4ECA-8FC4-AD3D1182E70F}"/>
    <cellStyle name="Normal 6 12 2 4 10" xfId="9411" xr:uid="{DA23868E-BF47-4261-89E6-F002D2DB0329}"/>
    <cellStyle name="Normal 6 12 2 4 11" xfId="9412" xr:uid="{C5DD62DF-60EE-4637-9E40-E1CCD785F0D8}"/>
    <cellStyle name="Normal 6 12 2 4 12" xfId="9413" xr:uid="{E6B5784A-DDA3-4A55-A807-2AF023CAB1EB}"/>
    <cellStyle name="Normal 6 12 2 4 13" xfId="9414" xr:uid="{1C9003D6-A651-4C07-B327-9DB5E456123B}"/>
    <cellStyle name="Normal 6 12 2 4 14" xfId="9415" xr:uid="{1A0F0E17-32B7-4148-B6D7-478B421CEA29}"/>
    <cellStyle name="Normal 6 12 2 4 15" xfId="9416" xr:uid="{9C3E872E-BEA0-483A-8D9D-89328C8CB70A}"/>
    <cellStyle name="Normal 6 12 2 4 16" xfId="9417" xr:uid="{C0940DF8-D9C3-4941-B30C-D8D98FAD7854}"/>
    <cellStyle name="Normal 6 12 2 4 17" xfId="9418" xr:uid="{4FA6F6E6-8F24-4D82-BB48-E93696B7EDF3}"/>
    <cellStyle name="Normal 6 12 2 4 18" xfId="9419" xr:uid="{07C61012-5DC4-4D68-BDB5-C789B6D44756}"/>
    <cellStyle name="Normal 6 12 2 4 19" xfId="9420" xr:uid="{B6FAD8CB-BFAC-46D1-A35E-D72C1A2E9812}"/>
    <cellStyle name="Normal 6 12 2 4 2" xfId="9421" xr:uid="{7C20D3A4-2715-49AE-91A4-AA3D3C85B894}"/>
    <cellStyle name="Normal 6 12 2 4 20" xfId="9422" xr:uid="{5036EF44-CB5A-434D-820E-871ED7610AE7}"/>
    <cellStyle name="Normal 6 12 2 4 21" xfId="9423" xr:uid="{04C34DB2-853C-42C4-8D73-8FCBEDDC9DFD}"/>
    <cellStyle name="Normal 6 12 2 4 22" xfId="9424" xr:uid="{265D30A2-17A7-4222-B28A-85B4282749B8}"/>
    <cellStyle name="Normal 6 12 2 4 23" xfId="9425" xr:uid="{DD3E8365-ECFD-4852-A942-53B8A64C7999}"/>
    <cellStyle name="Normal 6 12 2 4 24" xfId="9426" xr:uid="{E8F55371-D135-471E-A73D-BBFB0DD2E5A1}"/>
    <cellStyle name="Normal 6 12 2 4 25" xfId="9427" xr:uid="{E8873496-0BED-4F3B-8A20-AAD17A429108}"/>
    <cellStyle name="Normal 6 12 2 4 26" xfId="9428" xr:uid="{2FD9CA5D-EA6B-4B74-9900-1BE091E0FE44}"/>
    <cellStyle name="Normal 6 12 2 4 3" xfId="9429" xr:uid="{BCA1DD15-A785-495C-92BF-7D8B8037C2B4}"/>
    <cellStyle name="Normal 6 12 2 4 4" xfId="9430" xr:uid="{CFF23826-2783-49E9-B4C8-B4B715B8E991}"/>
    <cellStyle name="Normal 6 12 2 4 5" xfId="9431" xr:uid="{D10A755F-13EA-475C-AE52-29DA1C41A703}"/>
    <cellStyle name="Normal 6 12 2 4 6" xfId="9432" xr:uid="{9E8873CC-89D3-4BFE-9BF4-9188E9C0CE06}"/>
    <cellStyle name="Normal 6 12 2 4 7" xfId="9433" xr:uid="{780C1987-8133-4E7D-9264-7FA71EF543C3}"/>
    <cellStyle name="Normal 6 12 2 4 8" xfId="9434" xr:uid="{B2721651-62E8-488C-BB12-679D325A7325}"/>
    <cellStyle name="Normal 6 12 2 4 9" xfId="9435" xr:uid="{18D23BED-EE0B-40F2-92BE-DD95F6F24109}"/>
    <cellStyle name="Normal 6 12 2 4_Manual Consol" xfId="9436" xr:uid="{3AA2F6F3-8915-436F-91B0-1577CEC4C8B5}"/>
    <cellStyle name="Normal 6 12 2 5" xfId="9437" xr:uid="{2E6CB323-1622-4971-BF4C-2682FF88DE95}"/>
    <cellStyle name="Normal 6 12 2 5 10" xfId="9438" xr:uid="{A8CF2D3B-E59C-46EE-B114-ABAE4CF1BEC0}"/>
    <cellStyle name="Normal 6 12 2 5 11" xfId="9439" xr:uid="{658F2B03-D723-4006-B7C1-7DD8D0677F5F}"/>
    <cellStyle name="Normal 6 12 2 5 12" xfId="9440" xr:uid="{3A61136C-3E25-4180-8ED8-AC751C260704}"/>
    <cellStyle name="Normal 6 12 2 5 13" xfId="9441" xr:uid="{00DC033C-B591-4BC1-8A3D-24892764747D}"/>
    <cellStyle name="Normal 6 12 2 5 14" xfId="9442" xr:uid="{622A8548-FF85-4386-9AEA-172BC8475C85}"/>
    <cellStyle name="Normal 6 12 2 5 15" xfId="9443" xr:uid="{1866E95B-B286-4011-A489-7754D118CDA1}"/>
    <cellStyle name="Normal 6 12 2 5 16" xfId="9444" xr:uid="{D07879B5-AE42-4B65-A6FC-19FF5D268AE3}"/>
    <cellStyle name="Normal 6 12 2 5 17" xfId="9445" xr:uid="{D3A2585D-112F-4DE4-896A-994F109D7DA5}"/>
    <cellStyle name="Normal 6 12 2 5 18" xfId="9446" xr:uid="{858F9103-31E3-496B-B481-54927D57F340}"/>
    <cellStyle name="Normal 6 12 2 5 19" xfId="9447" xr:uid="{8CA87A18-1D89-4B09-8235-A0E52A4C25A8}"/>
    <cellStyle name="Normal 6 12 2 5 2" xfId="9448" xr:uid="{4864E4D1-EBC5-4168-A051-44E34B740708}"/>
    <cellStyle name="Normal 6 12 2 5 20" xfId="9449" xr:uid="{DAACC8EC-95DF-476F-82B2-F15C2AAC6E6E}"/>
    <cellStyle name="Normal 6 12 2 5 21" xfId="9450" xr:uid="{2CF53AB0-B980-4F7D-AA03-48E65F592090}"/>
    <cellStyle name="Normal 6 12 2 5 22" xfId="9451" xr:uid="{D514F948-248B-4045-A108-76F532761418}"/>
    <cellStyle name="Normal 6 12 2 5 23" xfId="9452" xr:uid="{CB286F30-9B37-4681-AA93-E19B5C1B2ED6}"/>
    <cellStyle name="Normal 6 12 2 5 24" xfId="9453" xr:uid="{77AFBFB3-EB1E-4796-8534-47A0A0DD6D3D}"/>
    <cellStyle name="Normal 6 12 2 5 25" xfId="9454" xr:uid="{9C813831-F384-4D94-A7B0-8ECC310AED14}"/>
    <cellStyle name="Normal 6 12 2 5 26" xfId="9455" xr:uid="{64885B8D-C4AB-486A-BA1C-890466846895}"/>
    <cellStyle name="Normal 6 12 2 5 3" xfId="9456" xr:uid="{46121439-D4A1-4F74-B948-A8312931C83F}"/>
    <cellStyle name="Normal 6 12 2 5 4" xfId="9457" xr:uid="{0F3964FE-AD49-4C8D-8D93-85E3515796EB}"/>
    <cellStyle name="Normal 6 12 2 5 5" xfId="9458" xr:uid="{B0DB68F0-F3EA-4647-B6B1-46BE1B2A0D86}"/>
    <cellStyle name="Normal 6 12 2 5 6" xfId="9459" xr:uid="{8434F22F-178C-4369-9088-CE519F67F666}"/>
    <cellStyle name="Normal 6 12 2 5 7" xfId="9460" xr:uid="{6AC747C2-194C-46E8-BD60-148D4CCDEAD1}"/>
    <cellStyle name="Normal 6 12 2 5 8" xfId="9461" xr:uid="{5EEE9E87-96FE-46B9-971A-076F97DE4BAD}"/>
    <cellStyle name="Normal 6 12 2 5 9" xfId="9462" xr:uid="{E4F9672C-1127-4113-BBEF-F07F29BE20DD}"/>
    <cellStyle name="Normal 6 12 2 5_Manual Consol" xfId="9463" xr:uid="{D3EAD47E-570A-4068-9763-95FC7956A252}"/>
    <cellStyle name="Normal 6 12 2 6" xfId="9464" xr:uid="{0891678E-ABF2-469B-B1DF-A9C27F725390}"/>
    <cellStyle name="Normal 6 12 2 6 10" xfId="9465" xr:uid="{F62C1775-8791-4066-88DA-8D2ABE5EE9EB}"/>
    <cellStyle name="Normal 6 12 2 6 11" xfId="9466" xr:uid="{FCC9E023-EA48-41BD-BDA0-62CCBEEC7738}"/>
    <cellStyle name="Normal 6 12 2 6 12" xfId="9467" xr:uid="{0C1161CD-0980-441A-A504-140CEEF51FC8}"/>
    <cellStyle name="Normal 6 12 2 6 13" xfId="9468" xr:uid="{626A6A1B-A584-4689-8EE3-8025118B8152}"/>
    <cellStyle name="Normal 6 12 2 6 14" xfId="9469" xr:uid="{A984B46D-17BA-4C14-859B-30607DF16FBF}"/>
    <cellStyle name="Normal 6 12 2 6 15" xfId="9470" xr:uid="{50CF41C8-1B0C-435D-99C7-4A17F2F1691C}"/>
    <cellStyle name="Normal 6 12 2 6 16" xfId="9471" xr:uid="{51302B0D-C037-46C1-8D96-056EFBC362C4}"/>
    <cellStyle name="Normal 6 12 2 6 17" xfId="9472" xr:uid="{2EE41969-2712-482B-A7C5-50C4187D5BB1}"/>
    <cellStyle name="Normal 6 12 2 6 18" xfId="9473" xr:uid="{F41E8B23-D505-42E1-A36F-2AD6E735227E}"/>
    <cellStyle name="Normal 6 12 2 6 19" xfId="9474" xr:uid="{34171A8A-4BCD-470B-A917-01C91C3B7C75}"/>
    <cellStyle name="Normal 6 12 2 6 2" xfId="9475" xr:uid="{66DF7824-F3D9-4A23-9197-BE0ABFBA62F8}"/>
    <cellStyle name="Normal 6 12 2 6 20" xfId="9476" xr:uid="{435E29B1-F6E1-4181-8CF6-B0DFD41DAEF5}"/>
    <cellStyle name="Normal 6 12 2 6 21" xfId="9477" xr:uid="{06C9C50E-D1D3-44A9-BEE0-C48F6ADD3FDC}"/>
    <cellStyle name="Normal 6 12 2 6 22" xfId="9478" xr:uid="{EA0AEBCF-B13C-4DFC-847B-E3030F895BB3}"/>
    <cellStyle name="Normal 6 12 2 6 23" xfId="9479" xr:uid="{7C2F68EC-E2C0-4885-8CF8-4C777AD03AEF}"/>
    <cellStyle name="Normal 6 12 2 6 24" xfId="9480" xr:uid="{DC5DB4D9-9084-41C1-9361-6AB8EFA539CF}"/>
    <cellStyle name="Normal 6 12 2 6 25" xfId="9481" xr:uid="{4A66DC68-0915-4844-9E53-39084C75AB5E}"/>
    <cellStyle name="Normal 6 12 2 6 26" xfId="9482" xr:uid="{BA6A7A3C-2B77-497A-8AFD-2CA410DD26D8}"/>
    <cellStyle name="Normal 6 12 2 6 3" xfId="9483" xr:uid="{DAB9C9D7-10AF-4894-A304-BC8F272CB8EA}"/>
    <cellStyle name="Normal 6 12 2 6 4" xfId="9484" xr:uid="{C79474EC-32A3-40AE-ADA8-A8956F9AD429}"/>
    <cellStyle name="Normal 6 12 2 6 5" xfId="9485" xr:uid="{457C8731-AE43-4A2C-BB72-ACA73F55FCFD}"/>
    <cellStyle name="Normal 6 12 2 6 6" xfId="9486" xr:uid="{03A0750B-3F72-44AF-A6CC-D8F16882A809}"/>
    <cellStyle name="Normal 6 12 2 6 7" xfId="9487" xr:uid="{54940DC2-4FDA-4BC1-B529-8AEB19296499}"/>
    <cellStyle name="Normal 6 12 2 6 8" xfId="9488" xr:uid="{B919B881-9974-4818-BE09-07357DC18A15}"/>
    <cellStyle name="Normal 6 12 2 6 9" xfId="9489" xr:uid="{F82C3C4A-0DFC-4E2B-B190-812A63038509}"/>
    <cellStyle name="Normal 6 12 2 6_Manual Consol" xfId="9490" xr:uid="{CDC64FC7-2137-4C26-A7FB-355FE28287F6}"/>
    <cellStyle name="Normal 6 12 2 7" xfId="9491" xr:uid="{F4D0F988-E5FE-4870-A8DB-90F6812E681D}"/>
    <cellStyle name="Normal 6 12 2 7 10" xfId="9492" xr:uid="{0D18A4A5-7D23-4706-AE12-967AA8E47264}"/>
    <cellStyle name="Normal 6 12 2 7 11" xfId="9493" xr:uid="{D4B66513-59CC-4882-8BE6-1204905415C6}"/>
    <cellStyle name="Normal 6 12 2 7 12" xfId="9494" xr:uid="{3B572156-D0A2-4BBF-A3F1-F1D5C5BF9731}"/>
    <cellStyle name="Normal 6 12 2 7 13" xfId="9495" xr:uid="{0962078F-62AB-40F1-BCE1-0F17155CAF1A}"/>
    <cellStyle name="Normal 6 12 2 7 14" xfId="9496" xr:uid="{884F6ABE-DA87-4E5E-8ADF-9AA52AB0C879}"/>
    <cellStyle name="Normal 6 12 2 7 15" xfId="9497" xr:uid="{BC3A23DD-858F-43C0-A01F-B13446C59625}"/>
    <cellStyle name="Normal 6 12 2 7 16" xfId="9498" xr:uid="{482E36CB-A95C-44FF-B5CA-1250945A32C7}"/>
    <cellStyle name="Normal 6 12 2 7 17" xfId="9499" xr:uid="{33E3085E-4C31-4DC0-BF77-1A3518F05419}"/>
    <cellStyle name="Normal 6 12 2 7 18" xfId="9500" xr:uid="{24994AE3-9659-48AC-ABA0-789AA475C24F}"/>
    <cellStyle name="Normal 6 12 2 7 19" xfId="9501" xr:uid="{F5903F8A-7D09-4A1F-8BD7-4797058131AA}"/>
    <cellStyle name="Normal 6 12 2 7 2" xfId="9502" xr:uid="{D9DC6160-5764-4B4A-8BAD-675E17B5221F}"/>
    <cellStyle name="Normal 6 12 2 7 20" xfId="9503" xr:uid="{58197B31-D26E-4FF8-9630-AE5735C6CCE4}"/>
    <cellStyle name="Normal 6 12 2 7 21" xfId="9504" xr:uid="{8D3CE3E5-BA8B-4786-871C-100F68EEF402}"/>
    <cellStyle name="Normal 6 12 2 7 22" xfId="9505" xr:uid="{308083C7-9D59-4392-961B-FE5728B20125}"/>
    <cellStyle name="Normal 6 12 2 7 23" xfId="9506" xr:uid="{B4571944-1F3D-4A6C-A9FD-AAA42E227165}"/>
    <cellStyle name="Normal 6 12 2 7 24" xfId="9507" xr:uid="{766E9D8E-093B-4427-9D1E-5EB833FD5A18}"/>
    <cellStyle name="Normal 6 12 2 7 25" xfId="9508" xr:uid="{B9B7AA9E-2A93-4E1E-8C8D-EC5EEE3DFCF8}"/>
    <cellStyle name="Normal 6 12 2 7 26" xfId="9509" xr:uid="{42979480-F87E-4773-8037-09FFA68F55B6}"/>
    <cellStyle name="Normal 6 12 2 7 3" xfId="9510" xr:uid="{7F979AD8-8E80-4C63-A976-A30A6C451B4C}"/>
    <cellStyle name="Normal 6 12 2 7 4" xfId="9511" xr:uid="{93B9C4FA-EAF2-486A-AC52-D339D21998EA}"/>
    <cellStyle name="Normal 6 12 2 7 5" xfId="9512" xr:uid="{F1F87BBC-6379-46D0-9971-76630FD1FEAD}"/>
    <cellStyle name="Normal 6 12 2 7 6" xfId="9513" xr:uid="{A8D9C1C8-0DAF-4B52-A9CA-9BCC0998C6FA}"/>
    <cellStyle name="Normal 6 12 2 7 7" xfId="9514" xr:uid="{C41B341A-9A4E-43BE-9E0E-37CE91A3605E}"/>
    <cellStyle name="Normal 6 12 2 7 8" xfId="9515" xr:uid="{FC1C51A5-71A3-48C5-9174-56B2B4960C61}"/>
    <cellStyle name="Normal 6 12 2 7 9" xfId="9516" xr:uid="{77F6588A-A0EF-457C-A680-E3E164BB3FF0}"/>
    <cellStyle name="Normal 6 12 2 7_Manual Consol" xfId="9517" xr:uid="{DFBE9E79-1C1A-4697-B99C-2D51F6293B36}"/>
    <cellStyle name="Normal 6 12 2 8" xfId="9518" xr:uid="{C11732FB-4A48-442C-97D0-BDFC7FFB4BEF}"/>
    <cellStyle name="Normal 6 12 2 8 10" xfId="9519" xr:uid="{37A39AD8-CAD7-4D4D-B96A-A5A58BDA56DA}"/>
    <cellStyle name="Normal 6 12 2 8 11" xfId="9520" xr:uid="{9B30BEA5-F160-42AC-8C2F-9298B623F0A0}"/>
    <cellStyle name="Normal 6 12 2 8 12" xfId="9521" xr:uid="{30AF892B-4834-4AC9-93CB-66A8A4D08E04}"/>
    <cellStyle name="Normal 6 12 2 8 13" xfId="9522" xr:uid="{01E33A60-1AA9-4253-9FF7-A93FCC1664B6}"/>
    <cellStyle name="Normal 6 12 2 8 14" xfId="9523" xr:uid="{6F4D871A-44D9-45BE-896D-15C24E9FE5BE}"/>
    <cellStyle name="Normal 6 12 2 8 15" xfId="9524" xr:uid="{201DB66A-ACF0-40E7-815D-2D634957EC9B}"/>
    <cellStyle name="Normal 6 12 2 8 16" xfId="9525" xr:uid="{639A1834-89D3-4F75-A73C-3A88ED85CC9C}"/>
    <cellStyle name="Normal 6 12 2 8 17" xfId="9526" xr:uid="{AFD53F41-F083-4575-830E-F9C3EEA0E8E8}"/>
    <cellStyle name="Normal 6 12 2 8 18" xfId="9527" xr:uid="{44F38B50-0563-4735-AFAC-304FC67DE372}"/>
    <cellStyle name="Normal 6 12 2 8 19" xfId="9528" xr:uid="{D3C9CFED-2EF0-4398-9766-D0A9D4B18771}"/>
    <cellStyle name="Normal 6 12 2 8 2" xfId="9529" xr:uid="{DA8CDE5A-6939-4850-85A5-192DA8CA1740}"/>
    <cellStyle name="Normal 6 12 2 8 20" xfId="9530" xr:uid="{A269B4C9-F5B9-4A5F-901A-FBF7AC58DC54}"/>
    <cellStyle name="Normal 6 12 2 8 21" xfId="9531" xr:uid="{1882C148-A350-4B6C-B9A8-4D924B7782BF}"/>
    <cellStyle name="Normal 6 12 2 8 22" xfId="9532" xr:uid="{825F52C3-D9C5-4CC6-8737-88A2CD73AC23}"/>
    <cellStyle name="Normal 6 12 2 8 23" xfId="9533" xr:uid="{BF10D6AA-B5E2-477A-937A-E6F8031458D1}"/>
    <cellStyle name="Normal 6 12 2 8 24" xfId="9534" xr:uid="{93B9ECA3-2275-4720-8309-4C125B2C9F6D}"/>
    <cellStyle name="Normal 6 12 2 8 25" xfId="9535" xr:uid="{EA39B001-C10D-4F85-A2BE-E2B7DB5DC2B1}"/>
    <cellStyle name="Normal 6 12 2 8 26" xfId="9536" xr:uid="{058DB44E-AF2D-48E7-855E-B1DDE0690522}"/>
    <cellStyle name="Normal 6 12 2 8 3" xfId="9537" xr:uid="{FE8ECD75-E76D-4A8F-9A09-76F715B375EF}"/>
    <cellStyle name="Normal 6 12 2 8 4" xfId="9538" xr:uid="{061CF3EC-01F8-4270-B894-5F9E1CA159C8}"/>
    <cellStyle name="Normal 6 12 2 8 5" xfId="9539" xr:uid="{00AFE0D3-D598-4A93-8FFC-0D063ADDCCFD}"/>
    <cellStyle name="Normal 6 12 2 8 6" xfId="9540" xr:uid="{F9FBAAA1-B5A8-48DC-82AD-F97E8D11B7A1}"/>
    <cellStyle name="Normal 6 12 2 8 7" xfId="9541" xr:uid="{46D7AB8F-7E72-44DB-A13D-409101C86703}"/>
    <cellStyle name="Normal 6 12 2 8 8" xfId="9542" xr:uid="{A9CF7029-D7D0-4799-8267-FBD2DE421847}"/>
    <cellStyle name="Normal 6 12 2 8 9" xfId="9543" xr:uid="{996EFBE2-7FE5-4045-8187-810F813AE248}"/>
    <cellStyle name="Normal 6 12 2 8_Manual Consol" xfId="9544" xr:uid="{BD81FEEA-C27D-419F-A637-B91028DDEE41}"/>
    <cellStyle name="Normal 6 12 2 9" xfId="9545" xr:uid="{D8EAC946-8C21-48EE-9CB8-33BB0ED70F2B}"/>
    <cellStyle name="Normal 6 12 2_Manual Consol" xfId="9546" xr:uid="{4C928516-BA8C-4E5B-8788-1715166E35F0}"/>
    <cellStyle name="Normal 6 12 20" xfId="9547" xr:uid="{5281F25B-996A-40A8-83A4-1347248CD3FD}"/>
    <cellStyle name="Normal 6 12 21" xfId="9548" xr:uid="{F3354DEF-C076-4609-B9F8-8BFF31C13B5A}"/>
    <cellStyle name="Normal 6 12 22" xfId="9549" xr:uid="{DBD9ADA5-407A-4A36-8503-6522822A3DAB}"/>
    <cellStyle name="Normal 6 12 23" xfId="9550" xr:uid="{5A0627AF-253B-4EE1-B608-91D6E3213153}"/>
    <cellStyle name="Normal 6 12 24" xfId="9551" xr:uid="{CFA4430E-7141-49BF-BCF8-32D803A5EB5C}"/>
    <cellStyle name="Normal 6 12 25" xfId="9552" xr:uid="{DB5C77A0-99A5-40F0-B691-E5ED00499E93}"/>
    <cellStyle name="Normal 6 12 26" xfId="9553" xr:uid="{544481BF-EE43-417F-8D44-4D4DCB157E29}"/>
    <cellStyle name="Normal 6 12 27" xfId="9554" xr:uid="{F97E8C1F-AEE2-4AFB-9999-1B84ADA361AB}"/>
    <cellStyle name="Normal 6 12 28" xfId="9555" xr:uid="{8067BDBF-72A5-4354-A23B-C9ED0F78DC35}"/>
    <cellStyle name="Normal 6 12 29" xfId="9556" xr:uid="{8DEBD8EE-DF16-44C7-867B-5D5F37E4EBA1}"/>
    <cellStyle name="Normal 6 12 3" xfId="9557" xr:uid="{3D372700-FC9E-4395-B6AD-E6CC20E7AF1E}"/>
    <cellStyle name="Normal 6 12 3 10" xfId="9558" xr:uid="{F660A174-FF48-482E-8F68-75E9CC676E19}"/>
    <cellStyle name="Normal 6 12 3 11" xfId="9559" xr:uid="{EDA3CD63-4484-4DC4-A5FA-53EE3FD98623}"/>
    <cellStyle name="Normal 6 12 3 12" xfId="9560" xr:uid="{DC06DBAC-B9DC-4AE7-AB01-E5A150A2F933}"/>
    <cellStyle name="Normal 6 12 3 13" xfId="9561" xr:uid="{B4D4ECB9-1E10-493D-8DBB-2FE6F82F02F0}"/>
    <cellStyle name="Normal 6 12 3 14" xfId="9562" xr:uid="{551A9E2C-0ACE-4203-935B-949A78F6CA35}"/>
    <cellStyle name="Normal 6 12 3 15" xfId="9563" xr:uid="{14B90A79-3731-4FB8-A177-DF0B98FC8E27}"/>
    <cellStyle name="Normal 6 12 3 16" xfId="9564" xr:uid="{2150506F-6678-499A-A085-1A40D990DBBE}"/>
    <cellStyle name="Normal 6 12 3 17" xfId="9565" xr:uid="{2E4DF910-DFCE-4182-B37B-06CDF006F995}"/>
    <cellStyle name="Normal 6 12 3 18" xfId="9566" xr:uid="{B8D79E5B-374D-41FA-A9FB-E5924C615721}"/>
    <cellStyle name="Normal 6 12 3 19" xfId="9567" xr:uid="{06D80E5A-3FC9-4257-A629-CED7F91C21C3}"/>
    <cellStyle name="Normal 6 12 3 2" xfId="9568" xr:uid="{C4A542CD-750D-4EE5-8B47-9F5CEC2D3C72}"/>
    <cellStyle name="Normal 6 12 3 2 10" xfId="9569" xr:uid="{CFCC6DB6-05FA-4A69-8BD1-6C3C218A1904}"/>
    <cellStyle name="Normal 6 12 3 2 11" xfId="9570" xr:uid="{3082AC61-24FD-4DD0-A824-BE63E7DCBB7E}"/>
    <cellStyle name="Normal 6 12 3 2 12" xfId="9571" xr:uid="{2057A45B-3F35-46B7-93C9-67047420F173}"/>
    <cellStyle name="Normal 6 12 3 2 13" xfId="9572" xr:uid="{DA99275A-17B3-4695-9F96-C543C1201A58}"/>
    <cellStyle name="Normal 6 12 3 2 14" xfId="9573" xr:uid="{B238142B-02D0-4753-BA67-8C80E2C740E7}"/>
    <cellStyle name="Normal 6 12 3 2 15" xfId="9574" xr:uid="{8B5B068F-69A9-45AA-93CC-D871F49AE733}"/>
    <cellStyle name="Normal 6 12 3 2 16" xfId="9575" xr:uid="{C9A76656-2755-4ECB-A474-F5406C97BAE3}"/>
    <cellStyle name="Normal 6 12 3 2 17" xfId="9576" xr:uid="{DB4EADDB-1362-43EC-9F2F-FFD606382AA0}"/>
    <cellStyle name="Normal 6 12 3 2 18" xfId="9577" xr:uid="{B516E681-25D0-4984-B054-353BF02301E6}"/>
    <cellStyle name="Normal 6 12 3 2 19" xfId="9578" xr:uid="{29285EFE-3C1C-4F70-A22A-BA9886B01FB1}"/>
    <cellStyle name="Normal 6 12 3 2 2" xfId="9579" xr:uid="{E0E4FF3F-6024-484C-9620-364092E4653E}"/>
    <cellStyle name="Normal 6 12 3 2 20" xfId="9580" xr:uid="{9A19B77F-45BC-47BB-B0D2-99FC3382F56E}"/>
    <cellStyle name="Normal 6 12 3 2 21" xfId="9581" xr:uid="{E0500DF3-CF64-459D-AAE9-8231A42A1D25}"/>
    <cellStyle name="Normal 6 12 3 2 22" xfId="9582" xr:uid="{5CC3C678-E87C-4C0F-9473-F5960613F856}"/>
    <cellStyle name="Normal 6 12 3 2 23" xfId="9583" xr:uid="{5191E296-F436-4233-8EB0-9A028BCE1648}"/>
    <cellStyle name="Normal 6 12 3 2 24" xfId="9584" xr:uid="{81C33892-EEE7-484E-8A19-E577C0C0E0D7}"/>
    <cellStyle name="Normal 6 12 3 2 25" xfId="9585" xr:uid="{33FC2FD4-47B9-48BF-B39F-FF4243692392}"/>
    <cellStyle name="Normal 6 12 3 2 26" xfId="9586" xr:uid="{22CA3E76-EEF2-410C-BAA4-FD2224D66A56}"/>
    <cellStyle name="Normal 6 12 3 2 3" xfId="9587" xr:uid="{BBA0B2E8-569B-4CDC-9BC0-0C8CA274642E}"/>
    <cellStyle name="Normal 6 12 3 2 4" xfId="9588" xr:uid="{9C8D0D52-EE4D-465B-B8E6-9E591FA4FE73}"/>
    <cellStyle name="Normal 6 12 3 2 5" xfId="9589" xr:uid="{E86B9871-A8F2-4A78-A3CC-938E08F7971B}"/>
    <cellStyle name="Normal 6 12 3 2 6" xfId="9590" xr:uid="{D4239855-26B9-4618-82AF-6DE0F1D7815C}"/>
    <cellStyle name="Normal 6 12 3 2 7" xfId="9591" xr:uid="{0F384070-8BDE-445D-86EA-19B1363274E2}"/>
    <cellStyle name="Normal 6 12 3 2 8" xfId="9592" xr:uid="{BA5088F1-CB19-45D9-AD30-497A6819CD84}"/>
    <cellStyle name="Normal 6 12 3 2 9" xfId="9593" xr:uid="{1F77EDA5-1EEE-4657-9492-0D8E27B297D9}"/>
    <cellStyle name="Normal 6 12 3 2_Manual Consol" xfId="9594" xr:uid="{6261CF44-07D2-4AF9-8536-891C1A0812CA}"/>
    <cellStyle name="Normal 6 12 3 20" xfId="9595" xr:uid="{DB25B299-B5EB-4547-8EAF-9B9EE4089CAC}"/>
    <cellStyle name="Normal 6 12 3 21" xfId="9596" xr:uid="{8A0C1737-67A9-4A2D-85B6-03C60ED78AAF}"/>
    <cellStyle name="Normal 6 12 3 22" xfId="9597" xr:uid="{2FE21CE6-6610-49D5-BA30-169D563AF37B}"/>
    <cellStyle name="Normal 6 12 3 23" xfId="9598" xr:uid="{F1930B81-8165-4764-90AD-9AC356BA1971}"/>
    <cellStyle name="Normal 6 12 3 24" xfId="9599" xr:uid="{A6BCEB9D-FDA6-444A-B1E7-7F3FBD546D99}"/>
    <cellStyle name="Normal 6 12 3 25" xfId="9600" xr:uid="{BA321670-727F-4282-98A4-985EBDB36203}"/>
    <cellStyle name="Normal 6 12 3 26" xfId="9601" xr:uid="{536EC6E4-F0C2-4BAD-937E-A8AA98891D67}"/>
    <cellStyle name="Normal 6 12 3 27" xfId="9602" xr:uid="{4356CE18-6E9A-4979-A264-4C916E4B5C9E}"/>
    <cellStyle name="Normal 6 12 3 3" xfId="9603" xr:uid="{E49CB1EF-4BBE-43F4-A157-509D6AF720F3}"/>
    <cellStyle name="Normal 6 12 3 4" xfId="9604" xr:uid="{A05B3621-9F1C-4CB3-BFE5-3C85846E5A26}"/>
    <cellStyle name="Normal 6 12 3 5" xfId="9605" xr:uid="{A7D7A171-9942-4BD4-A20E-F689126F1B02}"/>
    <cellStyle name="Normal 6 12 3 6" xfId="9606" xr:uid="{4309532A-C9F2-4D96-993C-0577C448F515}"/>
    <cellStyle name="Normal 6 12 3 7" xfId="9607" xr:uid="{19E6D87E-AFBB-4589-B5AF-5B2FE1A3F83E}"/>
    <cellStyle name="Normal 6 12 3 8" xfId="9608" xr:uid="{13D214AD-FC0A-44BF-AEA4-9CBD921DA11B}"/>
    <cellStyle name="Normal 6 12 3 9" xfId="9609" xr:uid="{A83D6C38-F01A-489F-8ABF-6C45DF9E6457}"/>
    <cellStyle name="Normal 6 12 3_Manual Consol" xfId="9610" xr:uid="{9571EC88-5643-498E-82DD-FDC7D428DA09}"/>
    <cellStyle name="Normal 6 12 30" xfId="9611" xr:uid="{78FA1584-497A-4CE7-A33F-C6A2EC0CF168}"/>
    <cellStyle name="Normal 6 12 31" xfId="9612" xr:uid="{25608EEA-E420-452F-ADFC-00AD52A0A634}"/>
    <cellStyle name="Normal 6 12 32" xfId="9613" xr:uid="{1B6CE20E-9377-4328-A286-AF78A944EA5E}"/>
    <cellStyle name="Normal 6 12 33" xfId="9614" xr:uid="{C720FFEF-2587-444D-BF93-42D54CCA9466}"/>
    <cellStyle name="Normal 6 12 34" xfId="9615" xr:uid="{66737CE7-ED7E-45FC-9293-469012BCF87F}"/>
    <cellStyle name="Normal 6 12 35" xfId="9616" xr:uid="{D79C618F-0E7F-4E2C-A2C4-CE9F884E697C}"/>
    <cellStyle name="Normal 6 12 4" xfId="9617" xr:uid="{D735175E-FD98-4022-AFBE-0DB6A0A2A788}"/>
    <cellStyle name="Normal 6 12 4 10" xfId="9618" xr:uid="{35AD86AD-6C06-4F79-80BD-9D6EAA53831C}"/>
    <cellStyle name="Normal 6 12 4 11" xfId="9619" xr:uid="{DED9448C-8A9B-4BF3-B92F-2874A02E5D54}"/>
    <cellStyle name="Normal 6 12 4 12" xfId="9620" xr:uid="{AD4D3234-7162-47CD-894B-FE795D61A6A2}"/>
    <cellStyle name="Normal 6 12 4 13" xfId="9621" xr:uid="{0344676D-EACA-42A0-99EE-B45C32701E24}"/>
    <cellStyle name="Normal 6 12 4 14" xfId="9622" xr:uid="{11F35D12-2FE0-439D-ABC0-C0AC11F167E5}"/>
    <cellStyle name="Normal 6 12 4 15" xfId="9623" xr:uid="{83BE899A-3D54-46ED-97E0-1A367FBFEC0C}"/>
    <cellStyle name="Normal 6 12 4 16" xfId="9624" xr:uid="{5215B45B-8969-4D6B-B10C-F7D71B3789D0}"/>
    <cellStyle name="Normal 6 12 4 17" xfId="9625" xr:uid="{B79A6575-8373-443F-B04B-D2C62234C865}"/>
    <cellStyle name="Normal 6 12 4 18" xfId="9626" xr:uid="{000DD065-8C79-48B1-A3D4-DBA100C9BB13}"/>
    <cellStyle name="Normal 6 12 4 19" xfId="9627" xr:uid="{0FEB9255-32CA-486C-920A-529F0986F1C7}"/>
    <cellStyle name="Normal 6 12 4 2" xfId="9628" xr:uid="{EE88D802-4D37-4111-A3C4-491A051ECCC6}"/>
    <cellStyle name="Normal 6 12 4 2 10" xfId="9629" xr:uid="{20503F44-34B9-44BD-850A-67438EE10A6B}"/>
    <cellStyle name="Normal 6 12 4 2 11" xfId="9630" xr:uid="{B2C209B4-6C96-4681-BDA6-91D24AE47AB7}"/>
    <cellStyle name="Normal 6 12 4 2 12" xfId="9631" xr:uid="{164AEA1C-A92D-4577-B4F9-8BDC232E1ED5}"/>
    <cellStyle name="Normal 6 12 4 2 13" xfId="9632" xr:uid="{596A53A0-4FFA-433A-8730-CD24295132CC}"/>
    <cellStyle name="Normal 6 12 4 2 14" xfId="9633" xr:uid="{0A11F7EE-A637-4AAE-80B1-A1B94500256D}"/>
    <cellStyle name="Normal 6 12 4 2 15" xfId="9634" xr:uid="{F6E2CEA0-D726-4A16-87C6-A8B23A9F42F5}"/>
    <cellStyle name="Normal 6 12 4 2 16" xfId="9635" xr:uid="{858232E9-807C-417E-A664-8CFE99DD3E9D}"/>
    <cellStyle name="Normal 6 12 4 2 17" xfId="9636" xr:uid="{63ED0923-CCA6-4664-AEA2-4DCE0BC72138}"/>
    <cellStyle name="Normal 6 12 4 2 18" xfId="9637" xr:uid="{3F7CA098-F200-4F29-A6AA-1EF314A6DB93}"/>
    <cellStyle name="Normal 6 12 4 2 19" xfId="9638" xr:uid="{5155CE38-1BFB-4A0D-9251-ECDF870FE7C5}"/>
    <cellStyle name="Normal 6 12 4 2 2" xfId="9639" xr:uid="{DFC7B7B5-B40F-484B-B006-980139FEFEC4}"/>
    <cellStyle name="Normal 6 12 4 2 20" xfId="9640" xr:uid="{902D1777-B0CA-43C5-8F81-FEE9612FF857}"/>
    <cellStyle name="Normal 6 12 4 2 21" xfId="9641" xr:uid="{815182B0-1D6B-4830-ACD7-291B45A67FC1}"/>
    <cellStyle name="Normal 6 12 4 2 22" xfId="9642" xr:uid="{4597006A-E6CE-466C-8FBE-9CA61164592C}"/>
    <cellStyle name="Normal 6 12 4 2 23" xfId="9643" xr:uid="{BDB3662E-7691-413A-8B2B-6613838D9ED4}"/>
    <cellStyle name="Normal 6 12 4 2 24" xfId="9644" xr:uid="{3E96B439-CB45-432F-B03D-EF5FB8A344EF}"/>
    <cellStyle name="Normal 6 12 4 2 25" xfId="9645" xr:uid="{12988941-9FF9-4E59-AEE4-70E9FF78817F}"/>
    <cellStyle name="Normal 6 12 4 2 26" xfId="9646" xr:uid="{A1AB8A0A-6533-4E27-83A8-C3D55554E11E}"/>
    <cellStyle name="Normal 6 12 4 2 3" xfId="9647" xr:uid="{E9E1C607-2551-454A-8746-3EE0E9BC70B8}"/>
    <cellStyle name="Normal 6 12 4 2 4" xfId="9648" xr:uid="{622BDAB4-C6EC-4394-9FDB-08477DB33C44}"/>
    <cellStyle name="Normal 6 12 4 2 5" xfId="9649" xr:uid="{A66997A5-2117-408C-9D09-627F0F44738A}"/>
    <cellStyle name="Normal 6 12 4 2 6" xfId="9650" xr:uid="{A886906F-8502-450E-BF3A-E3FDE606D94B}"/>
    <cellStyle name="Normal 6 12 4 2 7" xfId="9651" xr:uid="{8998E884-2F88-49CB-A7B7-5AEAE25E91EF}"/>
    <cellStyle name="Normal 6 12 4 2 8" xfId="9652" xr:uid="{0AAEFEE4-F753-49F4-8F24-9F3B2516BEA3}"/>
    <cellStyle name="Normal 6 12 4 2 9" xfId="9653" xr:uid="{A56E0F8C-BB4A-4D31-83D8-5D69D5DB2348}"/>
    <cellStyle name="Normal 6 12 4 2_Manual Consol" xfId="9654" xr:uid="{E908BB95-89D6-4261-8D04-560A2A2FCBED}"/>
    <cellStyle name="Normal 6 12 4 20" xfId="9655" xr:uid="{1E72C602-F2C2-4763-A8AC-133B63375DC4}"/>
    <cellStyle name="Normal 6 12 4 21" xfId="9656" xr:uid="{E2633194-2211-4853-A7E9-6BF89584D2EE}"/>
    <cellStyle name="Normal 6 12 4 22" xfId="9657" xr:uid="{78E2083F-B97A-4889-979F-0A00DA31920F}"/>
    <cellStyle name="Normal 6 12 4 23" xfId="9658" xr:uid="{A466DF32-88D3-49DD-8A43-C9EA502DED32}"/>
    <cellStyle name="Normal 6 12 4 24" xfId="9659" xr:uid="{EEF2BC65-523B-451A-9ECA-E6E79B9E4AE6}"/>
    <cellStyle name="Normal 6 12 4 25" xfId="9660" xr:uid="{42DC3BB3-79EB-468C-AC63-523FA2654F52}"/>
    <cellStyle name="Normal 6 12 4 26" xfId="9661" xr:uid="{1AF0D77A-4177-4624-BE68-1307F15FD1BB}"/>
    <cellStyle name="Normal 6 12 4 27" xfId="9662" xr:uid="{53E2B61F-0548-4DAB-86EA-5F79347FFCE9}"/>
    <cellStyle name="Normal 6 12 4 3" xfId="9663" xr:uid="{9C85F8CB-A12F-45CB-BFF0-469B3628C564}"/>
    <cellStyle name="Normal 6 12 4 4" xfId="9664" xr:uid="{D3BF06DA-25A5-4A93-B1C6-5EF469C7B06F}"/>
    <cellStyle name="Normal 6 12 4 5" xfId="9665" xr:uid="{DA2FC07E-5C40-4E62-9042-C31E60F38F76}"/>
    <cellStyle name="Normal 6 12 4 6" xfId="9666" xr:uid="{37A8A53F-A141-478D-A16F-0AA822EDB032}"/>
    <cellStyle name="Normal 6 12 4 7" xfId="9667" xr:uid="{7C1C5C9D-5AC8-4971-9E69-9E9F44B61B16}"/>
    <cellStyle name="Normal 6 12 4 8" xfId="9668" xr:uid="{DCE4B257-DDDF-4782-A9C2-B7DD01A79328}"/>
    <cellStyle name="Normal 6 12 4 9" xfId="9669" xr:uid="{4EFFF2E6-9ABB-4644-9EE2-4D2E632ADF0D}"/>
    <cellStyle name="Normal 6 12 4_Manual Consol" xfId="9670" xr:uid="{94A3BD9A-1C5F-49B1-AEA2-465F1DFE03BE}"/>
    <cellStyle name="Normal 6 12 5" xfId="9671" xr:uid="{32A4D4AA-862E-498C-BB58-9F3D4BA8B1A2}"/>
    <cellStyle name="Normal 6 12 5 10" xfId="9672" xr:uid="{59B3727F-CE9E-44BE-B2D9-2216ABBC565B}"/>
    <cellStyle name="Normal 6 12 5 11" xfId="9673" xr:uid="{28CD71E2-FD89-4208-9BAD-DEAE1C7EABC4}"/>
    <cellStyle name="Normal 6 12 5 12" xfId="9674" xr:uid="{08E1B924-5DCE-4CF3-B464-2621FDE21931}"/>
    <cellStyle name="Normal 6 12 5 13" xfId="9675" xr:uid="{00B0297F-AD84-422E-8608-467DEB77625D}"/>
    <cellStyle name="Normal 6 12 5 14" xfId="9676" xr:uid="{C815A169-AE4B-4BD5-A256-E7F9750D7925}"/>
    <cellStyle name="Normal 6 12 5 15" xfId="9677" xr:uid="{E9274BCD-B8D4-4077-9B6F-149EA593F869}"/>
    <cellStyle name="Normal 6 12 5 16" xfId="9678" xr:uid="{DE50CD72-7733-4A7C-9252-39751AED3C07}"/>
    <cellStyle name="Normal 6 12 5 17" xfId="9679" xr:uid="{FE1F3134-3FDE-426D-AE36-5C59436E653F}"/>
    <cellStyle name="Normal 6 12 5 18" xfId="9680" xr:uid="{5BB16431-CAC3-4B79-B7E5-53E458C145BE}"/>
    <cellStyle name="Normal 6 12 5 19" xfId="9681" xr:uid="{F74C47ED-EE79-401C-BB64-7992A7E8017C}"/>
    <cellStyle name="Normal 6 12 5 2" xfId="9682" xr:uid="{51357FB9-998C-49EA-AD84-3814C8B01916}"/>
    <cellStyle name="Normal 6 12 5 20" xfId="9683" xr:uid="{86372436-B6FC-46AA-B90E-0BE091445603}"/>
    <cellStyle name="Normal 6 12 5 21" xfId="9684" xr:uid="{C92784E4-9D92-4800-85C2-363F960BD5F8}"/>
    <cellStyle name="Normal 6 12 5 22" xfId="9685" xr:uid="{B4EE466F-7C15-431B-B26B-7B3A776C9993}"/>
    <cellStyle name="Normal 6 12 5 23" xfId="9686" xr:uid="{E70EDA71-95BE-42BF-B869-4599C2D12C19}"/>
    <cellStyle name="Normal 6 12 5 24" xfId="9687" xr:uid="{E6A00191-432B-423C-AE3D-DD7AC3D8CEBE}"/>
    <cellStyle name="Normal 6 12 5 25" xfId="9688" xr:uid="{A6DEB0A1-B506-4BE0-AAD1-331ECA3BDFF9}"/>
    <cellStyle name="Normal 6 12 5 26" xfId="9689" xr:uid="{13D82E3F-CF34-46F7-8AAB-D64A528768BB}"/>
    <cellStyle name="Normal 6 12 5 3" xfId="9690" xr:uid="{99019FF9-D74D-4292-95C2-9A3388827E62}"/>
    <cellStyle name="Normal 6 12 5 4" xfId="9691" xr:uid="{A8589047-3E6C-4686-ACBF-43EF0CEA02BE}"/>
    <cellStyle name="Normal 6 12 5 5" xfId="9692" xr:uid="{0BE04A4B-3B42-4745-9BBC-8FC5556B1D63}"/>
    <cellStyle name="Normal 6 12 5 6" xfId="9693" xr:uid="{C5E058E2-1317-4E3A-9F7F-6010BF1C3CF3}"/>
    <cellStyle name="Normal 6 12 5 7" xfId="9694" xr:uid="{CF1EA93D-7EFA-4952-883A-70AC276797B6}"/>
    <cellStyle name="Normal 6 12 5 8" xfId="9695" xr:uid="{E3376C57-37F0-4C86-87D5-FD42E9425BDE}"/>
    <cellStyle name="Normal 6 12 5 9" xfId="9696" xr:uid="{5C419711-200E-4C4D-970C-B925DE559715}"/>
    <cellStyle name="Normal 6 12 5_Manual Consol" xfId="9697" xr:uid="{68B73E15-E5DA-4FA4-B969-4AD7C4EA38D9}"/>
    <cellStyle name="Normal 6 12 6" xfId="9698" xr:uid="{8EC961AE-00B2-40A1-9D12-A331162B4911}"/>
    <cellStyle name="Normal 6 12 6 10" xfId="9699" xr:uid="{D40B5D0D-E8A4-4CD4-AFFB-7A5ECC9A54C3}"/>
    <cellStyle name="Normal 6 12 6 11" xfId="9700" xr:uid="{A8B99382-9466-4121-99AF-2E846EB657A9}"/>
    <cellStyle name="Normal 6 12 6 12" xfId="9701" xr:uid="{FDFF5399-8658-4A4C-B2DD-B0BD2682A4C7}"/>
    <cellStyle name="Normal 6 12 6 13" xfId="9702" xr:uid="{77F1C2C4-31CA-4561-B350-7DB1CD73C759}"/>
    <cellStyle name="Normal 6 12 6 14" xfId="9703" xr:uid="{365CD974-47C2-446C-B293-63EB4B40677F}"/>
    <cellStyle name="Normal 6 12 6 15" xfId="9704" xr:uid="{952DC45A-0BD4-4293-B34A-F782A5A376DA}"/>
    <cellStyle name="Normal 6 12 6 16" xfId="9705" xr:uid="{8B5EF96A-4E3F-4393-B124-B908EBB152C0}"/>
    <cellStyle name="Normal 6 12 6 17" xfId="9706" xr:uid="{087304EA-4194-4CDA-BC5A-013C6808E462}"/>
    <cellStyle name="Normal 6 12 6 18" xfId="9707" xr:uid="{C28FF930-3275-4DAC-8D59-5B800F7467F5}"/>
    <cellStyle name="Normal 6 12 6 19" xfId="9708" xr:uid="{2BE96AE1-3D9A-4BCA-A30F-12C4EDF183D7}"/>
    <cellStyle name="Normal 6 12 6 2" xfId="9709" xr:uid="{1B7A1A40-6FBF-412E-8CB9-B87CC8598257}"/>
    <cellStyle name="Normal 6 12 6 20" xfId="9710" xr:uid="{4F696185-AE08-4E18-A0D1-69287F564E6C}"/>
    <cellStyle name="Normal 6 12 6 21" xfId="9711" xr:uid="{3B681457-DADD-4DA2-A290-A102DC5892B9}"/>
    <cellStyle name="Normal 6 12 6 22" xfId="9712" xr:uid="{6E384214-3DDF-4A47-8E65-5F2220EF3B53}"/>
    <cellStyle name="Normal 6 12 6 23" xfId="9713" xr:uid="{860C022B-2920-4B98-AFDB-A154080513AB}"/>
    <cellStyle name="Normal 6 12 6 24" xfId="9714" xr:uid="{8D66E0FB-D099-4F60-9CC3-BC02BAC25046}"/>
    <cellStyle name="Normal 6 12 6 25" xfId="9715" xr:uid="{1B6D4C2D-8F4D-467B-8788-A954FAC74AE9}"/>
    <cellStyle name="Normal 6 12 6 26" xfId="9716" xr:uid="{1BC94583-622C-44EC-B3D4-995CD8D42610}"/>
    <cellStyle name="Normal 6 12 6 3" xfId="9717" xr:uid="{366DBEB6-75E7-4F7A-94DC-6040665CDF5D}"/>
    <cellStyle name="Normal 6 12 6 4" xfId="9718" xr:uid="{44733786-C220-459A-9D71-962B9F5E33C3}"/>
    <cellStyle name="Normal 6 12 6 5" xfId="9719" xr:uid="{9A66F958-76FD-40E7-A1B0-DCB17302C207}"/>
    <cellStyle name="Normal 6 12 6 6" xfId="9720" xr:uid="{4C1EBE73-631E-4BFC-AE29-C396DB648D14}"/>
    <cellStyle name="Normal 6 12 6 7" xfId="9721" xr:uid="{9B51C838-4A95-4909-AD41-949208E21F63}"/>
    <cellStyle name="Normal 6 12 6 8" xfId="9722" xr:uid="{EC2C588B-361C-4650-9F85-FBCBAABA31AC}"/>
    <cellStyle name="Normal 6 12 6 9" xfId="9723" xr:uid="{A10B4B34-E4FF-4495-BED6-D15B16C7C354}"/>
    <cellStyle name="Normal 6 12 6_Manual Consol" xfId="9724" xr:uid="{CCBB9121-6274-42C0-A7E4-4628C87C0120}"/>
    <cellStyle name="Normal 6 12 7" xfId="9725" xr:uid="{84AB15EC-4558-4A94-8506-C312D8096062}"/>
    <cellStyle name="Normal 6 12 7 10" xfId="9726" xr:uid="{33AE963F-B170-44B1-AD8B-64ADF86C282D}"/>
    <cellStyle name="Normal 6 12 7 11" xfId="9727" xr:uid="{9BC01AA0-1338-4237-AE01-EDDB115B0760}"/>
    <cellStyle name="Normal 6 12 7 12" xfId="9728" xr:uid="{033F3084-54A3-4EBC-8DB6-5CB85054DF67}"/>
    <cellStyle name="Normal 6 12 7 13" xfId="9729" xr:uid="{16542796-9B5D-4523-92D8-3316441D4135}"/>
    <cellStyle name="Normal 6 12 7 14" xfId="9730" xr:uid="{54163314-E504-4C9D-A54D-B8B8924CBDC7}"/>
    <cellStyle name="Normal 6 12 7 15" xfId="9731" xr:uid="{B886649B-2A63-4B29-9CE7-D779AC43F650}"/>
    <cellStyle name="Normal 6 12 7 16" xfId="9732" xr:uid="{E5F803B7-7BC4-48B8-814A-B2603FB7CFB2}"/>
    <cellStyle name="Normal 6 12 7 17" xfId="9733" xr:uid="{DB4CB05A-1455-494B-AED4-B740568F9021}"/>
    <cellStyle name="Normal 6 12 7 18" xfId="9734" xr:uid="{96943989-E74E-49BA-AF78-FF7CD913FD70}"/>
    <cellStyle name="Normal 6 12 7 19" xfId="9735" xr:uid="{6BF3C392-BCBB-40D8-9FA9-BA4BF2AC81AF}"/>
    <cellStyle name="Normal 6 12 7 2" xfId="9736" xr:uid="{9DC5AA02-C2B3-4707-B8DC-E255803404DF}"/>
    <cellStyle name="Normal 6 12 7 20" xfId="9737" xr:uid="{AEDB3029-2425-4813-8BF8-B55D4D1B5EC9}"/>
    <cellStyle name="Normal 6 12 7 21" xfId="9738" xr:uid="{9CCC8F98-C3FD-4689-B6B3-2FD7E8AB2496}"/>
    <cellStyle name="Normal 6 12 7 22" xfId="9739" xr:uid="{638B9078-5E05-4502-BBA6-79CB14B3C6FD}"/>
    <cellStyle name="Normal 6 12 7 23" xfId="9740" xr:uid="{DE56D832-88AA-4C66-B600-B4F958E1DD6E}"/>
    <cellStyle name="Normal 6 12 7 24" xfId="9741" xr:uid="{707B7640-4068-414F-8729-2FA45BD911D6}"/>
    <cellStyle name="Normal 6 12 7 25" xfId="9742" xr:uid="{58FA8020-7D15-4749-9629-386352F5E3E2}"/>
    <cellStyle name="Normal 6 12 7 26" xfId="9743" xr:uid="{1CAE5CF9-263C-480B-BC98-0467869EB9D5}"/>
    <cellStyle name="Normal 6 12 7 3" xfId="9744" xr:uid="{CBEC458B-D074-43FA-BC00-692110C9E368}"/>
    <cellStyle name="Normal 6 12 7 4" xfId="9745" xr:uid="{D5C6EF89-EC80-4C69-BA8A-BB2C2E2E2851}"/>
    <cellStyle name="Normal 6 12 7 5" xfId="9746" xr:uid="{69DCD583-1A68-4738-B326-94A5E79F0857}"/>
    <cellStyle name="Normal 6 12 7 6" xfId="9747" xr:uid="{5C7379B3-7906-46F5-AB92-FED5BB91E10C}"/>
    <cellStyle name="Normal 6 12 7 7" xfId="9748" xr:uid="{C814D18C-3EB6-459B-BD3F-9348A844FF81}"/>
    <cellStyle name="Normal 6 12 7 8" xfId="9749" xr:uid="{7D50C093-B746-4B61-A237-7AC75F4F2E82}"/>
    <cellStyle name="Normal 6 12 7 9" xfId="9750" xr:uid="{E1DB08E5-02FC-4575-836B-5B5017C56612}"/>
    <cellStyle name="Normal 6 12 7_Manual Consol" xfId="9751" xr:uid="{DCCDD6AD-E2F0-43B9-8E10-CB51799A425B}"/>
    <cellStyle name="Normal 6 12 8" xfId="9752" xr:uid="{FE4AE1B8-3A60-4754-B980-E59D871607D9}"/>
    <cellStyle name="Normal 6 12 8 10" xfId="9753" xr:uid="{56828E0E-2248-485F-88BE-0FF559DF2788}"/>
    <cellStyle name="Normal 6 12 8 11" xfId="9754" xr:uid="{4F365855-584B-4318-8CE2-BA028CE87F50}"/>
    <cellStyle name="Normal 6 12 8 12" xfId="9755" xr:uid="{D8F17C96-C673-42AE-A578-683785EFA936}"/>
    <cellStyle name="Normal 6 12 8 13" xfId="9756" xr:uid="{8E6D1E13-EC34-492F-A53C-321469A2A070}"/>
    <cellStyle name="Normal 6 12 8 14" xfId="9757" xr:uid="{59B8A059-74D6-41B1-BF00-4F526BE22505}"/>
    <cellStyle name="Normal 6 12 8 15" xfId="9758" xr:uid="{4D59A544-543B-4BA7-9872-0B0E069C27E4}"/>
    <cellStyle name="Normal 6 12 8 16" xfId="9759" xr:uid="{7C8511AE-5C1B-4602-BB9B-826148C3CB8F}"/>
    <cellStyle name="Normal 6 12 8 17" xfId="9760" xr:uid="{F79516FE-D791-42B4-9C9E-240F3F6A7288}"/>
    <cellStyle name="Normal 6 12 8 18" xfId="9761" xr:uid="{DA019157-E13F-4AAA-8142-3D99BF9ED688}"/>
    <cellStyle name="Normal 6 12 8 19" xfId="9762" xr:uid="{FEFD8CDD-B98D-4DEB-B2D1-A167F8008419}"/>
    <cellStyle name="Normal 6 12 8 2" xfId="9763" xr:uid="{18F0FF2A-25A9-4F3E-9FDE-81E177B7611A}"/>
    <cellStyle name="Normal 6 12 8 20" xfId="9764" xr:uid="{0A444AA0-D007-4896-8D47-97460D7CA458}"/>
    <cellStyle name="Normal 6 12 8 21" xfId="9765" xr:uid="{0BCE4DB6-C75D-4B82-A81F-7AFCF9B4F93E}"/>
    <cellStyle name="Normal 6 12 8 22" xfId="9766" xr:uid="{B6E8AC32-8680-4C29-97F9-5DDC82642481}"/>
    <cellStyle name="Normal 6 12 8 23" xfId="9767" xr:uid="{B7EFF886-A8B5-4ABF-BA25-973DF57DD855}"/>
    <cellStyle name="Normal 6 12 8 24" xfId="9768" xr:uid="{92491CBF-60B3-4A2F-A059-AFCDE9B1E958}"/>
    <cellStyle name="Normal 6 12 8 25" xfId="9769" xr:uid="{7535BA25-954C-4AD6-9EEE-BB39CCA97487}"/>
    <cellStyle name="Normal 6 12 8 26" xfId="9770" xr:uid="{45EE9F22-5FE8-44F1-A5D4-134A11E9D6A9}"/>
    <cellStyle name="Normal 6 12 8 3" xfId="9771" xr:uid="{F3F6C0F0-7F6C-40C9-9259-3D596EC6CCD2}"/>
    <cellStyle name="Normal 6 12 8 4" xfId="9772" xr:uid="{70379E45-B37A-4516-A3CF-752CC53EF4E5}"/>
    <cellStyle name="Normal 6 12 8 5" xfId="9773" xr:uid="{9626D30A-C006-4E37-8090-5B20F5E0EF56}"/>
    <cellStyle name="Normal 6 12 8 6" xfId="9774" xr:uid="{84D12031-AEEE-4983-8263-CBE0659272E1}"/>
    <cellStyle name="Normal 6 12 8 7" xfId="9775" xr:uid="{FF1785AA-00E7-4112-A158-ABC222A51117}"/>
    <cellStyle name="Normal 6 12 8 8" xfId="9776" xr:uid="{D30EAC4C-DE08-4E03-A0FA-F2BAC2E2BA86}"/>
    <cellStyle name="Normal 6 12 8 9" xfId="9777" xr:uid="{9CFF5C14-87B1-4377-9AAF-1F03539E9CAF}"/>
    <cellStyle name="Normal 6 12 8_Manual Consol" xfId="9778" xr:uid="{9F73A0F4-6AB1-40E7-9CD1-D0D087F60C5F}"/>
    <cellStyle name="Normal 6 12 9" xfId="9779" xr:uid="{C0466CD6-D6BE-4EB9-B7BB-6D7F582BEE0E}"/>
    <cellStyle name="Normal 6 12 9 10" xfId="9780" xr:uid="{A27C78A2-BA6C-4BC2-987E-CAD1335386C1}"/>
    <cellStyle name="Normal 6 12 9 11" xfId="9781" xr:uid="{C5CE82B7-468E-468C-943A-482A668CF71F}"/>
    <cellStyle name="Normal 6 12 9 12" xfId="9782" xr:uid="{5D53722C-31E7-488E-AFF6-30158FB06895}"/>
    <cellStyle name="Normal 6 12 9 13" xfId="9783" xr:uid="{AA3D3471-B667-46FB-9CEC-17A94E827F7B}"/>
    <cellStyle name="Normal 6 12 9 14" xfId="9784" xr:uid="{B9243AC6-884F-4275-ABFF-C4B6146AA01F}"/>
    <cellStyle name="Normal 6 12 9 15" xfId="9785" xr:uid="{DB5418CE-F90A-464D-8EA9-A1C56B20DF09}"/>
    <cellStyle name="Normal 6 12 9 16" xfId="9786" xr:uid="{16BBB47C-6393-4A4C-B802-FD42CA3142F2}"/>
    <cellStyle name="Normal 6 12 9 17" xfId="9787" xr:uid="{81617335-9559-4AB3-AA64-BA7A455EB9C7}"/>
    <cellStyle name="Normal 6 12 9 18" xfId="9788" xr:uid="{BC3AFE39-E2D6-4EFD-9759-376F801A4893}"/>
    <cellStyle name="Normal 6 12 9 19" xfId="9789" xr:uid="{BC5EA475-C8AE-4AD7-AF8C-0A1154BDB4C8}"/>
    <cellStyle name="Normal 6 12 9 2" xfId="9790" xr:uid="{3EEC70BD-8A71-4DB3-9178-EA275BC67DD8}"/>
    <cellStyle name="Normal 6 12 9 20" xfId="9791" xr:uid="{15E5B09C-10F1-4EEB-B9F4-6D1FCE58DBF0}"/>
    <cellStyle name="Normal 6 12 9 21" xfId="9792" xr:uid="{ACCDA23F-A509-410D-B683-9D90236BA175}"/>
    <cellStyle name="Normal 6 12 9 22" xfId="9793" xr:uid="{4EDF9F66-0853-4BCE-961A-368129023FB0}"/>
    <cellStyle name="Normal 6 12 9 23" xfId="9794" xr:uid="{81AE193B-7D89-41B7-83F8-D2F2B8AFFBCE}"/>
    <cellStyle name="Normal 6 12 9 24" xfId="9795" xr:uid="{AB707BF6-DE6B-4980-9310-C3F9053A183E}"/>
    <cellStyle name="Normal 6 12 9 25" xfId="9796" xr:uid="{F4C01D25-5689-4633-A7EF-0858C38ABDD2}"/>
    <cellStyle name="Normal 6 12 9 26" xfId="9797" xr:uid="{57A86EC3-487B-4EA9-A94E-80FAB6F8ED19}"/>
    <cellStyle name="Normal 6 12 9 3" xfId="9798" xr:uid="{67B81589-257A-4AAA-9750-E837EF350EA5}"/>
    <cellStyle name="Normal 6 12 9 4" xfId="9799" xr:uid="{086692AA-0A5D-4C38-B231-58D43EB0E469}"/>
    <cellStyle name="Normal 6 12 9 5" xfId="9800" xr:uid="{EB560066-7070-42FE-BD67-1569B422C7A1}"/>
    <cellStyle name="Normal 6 12 9 6" xfId="9801" xr:uid="{A76D7FBB-CDFF-45B8-B0D2-A071F44776E4}"/>
    <cellStyle name="Normal 6 12 9 7" xfId="9802" xr:uid="{C921F65B-169D-4132-95D5-9062DB4D0E85}"/>
    <cellStyle name="Normal 6 12 9 8" xfId="9803" xr:uid="{548E64BA-1DCD-4DC7-91B4-9CCF1A0BB483}"/>
    <cellStyle name="Normal 6 12 9 9" xfId="9804" xr:uid="{2EAA87C1-E676-403E-B9D4-1FA4E860E475}"/>
    <cellStyle name="Normal 6 12 9_Manual Consol" xfId="9805" xr:uid="{42C0D98F-E598-4065-B4EC-D4D3247F8C1D}"/>
    <cellStyle name="Normal 6 12_Adjusted bridges" xfId="11121" xr:uid="{A8B33CC7-1F47-420F-B0E8-39A030E8562F}"/>
    <cellStyle name="Normal 6 13" xfId="9806" xr:uid="{628428C0-824C-4786-81E4-AECC881544D7}"/>
    <cellStyle name="Normal 6 13 10" xfId="9807" xr:uid="{0F4831CA-CF4E-4E46-B6D8-7CEF71DCB189}"/>
    <cellStyle name="Normal 6 13 10 10" xfId="9808" xr:uid="{4F3751EB-1C24-44AE-B649-0E6E6F3FEF8A}"/>
    <cellStyle name="Normal 6 13 10 11" xfId="9809" xr:uid="{19F9FA8B-4A45-4C93-84D1-BA6E5773B7C5}"/>
    <cellStyle name="Normal 6 13 10 12" xfId="9810" xr:uid="{9BEC0DF4-A483-469F-A28E-F08B162B8230}"/>
    <cellStyle name="Normal 6 13 10 13" xfId="9811" xr:uid="{0B77D66C-3C6B-43C7-B240-128B410D2E6D}"/>
    <cellStyle name="Normal 6 13 10 14" xfId="9812" xr:uid="{CE6F2706-C8C4-4A9E-A2BF-9F7E4A4F1F16}"/>
    <cellStyle name="Normal 6 13 10 15" xfId="9813" xr:uid="{6372B85D-1D92-4326-A27C-45FF539DADCD}"/>
    <cellStyle name="Normal 6 13 10 16" xfId="9814" xr:uid="{5B82E747-D133-45C6-AF75-3E4DBA71CD58}"/>
    <cellStyle name="Normal 6 13 10 17" xfId="9815" xr:uid="{BDDA681C-53C6-4E8A-8299-B16A5D8A19E1}"/>
    <cellStyle name="Normal 6 13 10 18" xfId="9816" xr:uid="{11395491-E52E-42D4-A135-47C4445BB456}"/>
    <cellStyle name="Normal 6 13 10 19" xfId="9817" xr:uid="{4DD9AC3B-F910-43BB-82C1-4ADEAD4299BC}"/>
    <cellStyle name="Normal 6 13 10 2" xfId="9818" xr:uid="{F576C207-0208-4473-A4F2-3A4D6EAD1CF8}"/>
    <cellStyle name="Normal 6 13 10 20" xfId="9819" xr:uid="{7B4C67E3-9AF7-42A4-AF50-CF0076BFE62C}"/>
    <cellStyle name="Normal 6 13 10 21" xfId="9820" xr:uid="{8D322126-9ADA-4A80-8F5C-BE6537F48BC7}"/>
    <cellStyle name="Normal 6 13 10 22" xfId="9821" xr:uid="{9391B2AD-38C6-4016-9DEA-C8B671E9B905}"/>
    <cellStyle name="Normal 6 13 10 23" xfId="9822" xr:uid="{4B5048DA-D08F-4846-8BFC-C812333C9FE2}"/>
    <cellStyle name="Normal 6 13 10 24" xfId="9823" xr:uid="{CB534392-8D3B-4243-9EFD-FCD2503DF22C}"/>
    <cellStyle name="Normal 6 13 10 25" xfId="9824" xr:uid="{194F6E5E-99AE-43F1-B7AE-9CF672721E18}"/>
    <cellStyle name="Normal 6 13 10 26" xfId="9825" xr:uid="{4AC7DA55-EB81-4B59-AFC5-E7FA45B28517}"/>
    <cellStyle name="Normal 6 13 10 3" xfId="9826" xr:uid="{6E047533-4B85-4FA9-A61F-4E6F61154CA9}"/>
    <cellStyle name="Normal 6 13 10 4" xfId="9827" xr:uid="{24292DB8-4B73-408A-BB7B-CCE18860F3A1}"/>
    <cellStyle name="Normal 6 13 10 5" xfId="9828" xr:uid="{9203E123-850A-4CB5-94BE-8260C297A184}"/>
    <cellStyle name="Normal 6 13 10 6" xfId="9829" xr:uid="{C854807C-8708-4074-974D-D4788D063F5D}"/>
    <cellStyle name="Normal 6 13 10 7" xfId="9830" xr:uid="{269AA5AB-705B-4866-AD13-27FD6DFE6459}"/>
    <cellStyle name="Normal 6 13 10 8" xfId="9831" xr:uid="{1D3638EC-B52E-4355-BC78-FF9FF44B1CF9}"/>
    <cellStyle name="Normal 6 13 10 9" xfId="9832" xr:uid="{333F3BF5-04CA-4EAA-8AD2-6EA10340AD94}"/>
    <cellStyle name="Normal 6 13 10_Manual Consol" xfId="9833" xr:uid="{E5C91973-1849-4B32-B13D-5A4D83757D8D}"/>
    <cellStyle name="Normal 6 13 11" xfId="9834" xr:uid="{6FB506EB-C663-44F3-8F2B-C31405912CDF}"/>
    <cellStyle name="Normal 6 13 12" xfId="9835" xr:uid="{EAAFA2B3-2200-4340-A4DA-42CA167801B3}"/>
    <cellStyle name="Normal 6 13 13" xfId="9836" xr:uid="{57EFB360-6B79-487C-B276-9DAABEF06A05}"/>
    <cellStyle name="Normal 6 13 14" xfId="9837" xr:uid="{E6B2F044-9773-495A-90C7-39D4311C92B2}"/>
    <cellStyle name="Normal 6 13 15" xfId="9838" xr:uid="{49A69D7A-492C-4698-A529-F46153B62CB9}"/>
    <cellStyle name="Normal 6 13 16" xfId="9839" xr:uid="{5F7AB2EF-E193-45BB-BE1E-BD3745B16E81}"/>
    <cellStyle name="Normal 6 13 17" xfId="9840" xr:uid="{B6476E93-D444-4324-8FAD-9806C32AD044}"/>
    <cellStyle name="Normal 6 13 18" xfId="9841" xr:uid="{675E5B35-4D31-434C-BD99-6C36B426F5F5}"/>
    <cellStyle name="Normal 6 13 19" xfId="9842" xr:uid="{E76881E6-39CA-4CD7-9104-7C01033AAE10}"/>
    <cellStyle name="Normal 6 13 2" xfId="9843" xr:uid="{FA22861C-049C-43A6-BA97-4CE622AFA9B7}"/>
    <cellStyle name="Normal 6 13 2 10" xfId="9844" xr:uid="{5D7D47F6-00ED-4E7E-84B8-471A8C690AED}"/>
    <cellStyle name="Normal 6 13 2 11" xfId="9845" xr:uid="{40407F86-417F-4725-AA06-5FB1897850E2}"/>
    <cellStyle name="Normal 6 13 2 12" xfId="9846" xr:uid="{6F98C6AA-A6A7-4BD8-8964-A87CB230B0DA}"/>
    <cellStyle name="Normal 6 13 2 13" xfId="9847" xr:uid="{BE809673-7349-48B9-BDD4-A22E7EA4E92D}"/>
    <cellStyle name="Normal 6 13 2 14" xfId="9848" xr:uid="{31A920C9-63FD-4F58-9FB7-06BF3DC7B77E}"/>
    <cellStyle name="Normal 6 13 2 15" xfId="9849" xr:uid="{EFBF9EAC-B190-4C0D-9417-0A086B8492F2}"/>
    <cellStyle name="Normal 6 13 2 16" xfId="9850" xr:uid="{99313052-86A8-4F7C-9FEC-C1E5367F8D87}"/>
    <cellStyle name="Normal 6 13 2 17" xfId="9851" xr:uid="{7238AA56-F553-4D48-9BAF-AD25774E1DDB}"/>
    <cellStyle name="Normal 6 13 2 18" xfId="9852" xr:uid="{31C1383F-5F1E-4B1F-89CB-03D532746C1C}"/>
    <cellStyle name="Normal 6 13 2 19" xfId="9853" xr:uid="{7794338C-992F-471A-BF9D-C5AD599DACDB}"/>
    <cellStyle name="Normal 6 13 2 2" xfId="9854" xr:uid="{6BF4F55B-FC9B-4013-A531-F2D8AD6B28BA}"/>
    <cellStyle name="Normal 6 13 2 2 10" xfId="9855" xr:uid="{A9FA914C-3A98-4288-8E8C-D36E38AD31B6}"/>
    <cellStyle name="Normal 6 13 2 2 11" xfId="9856" xr:uid="{B9BE9835-FDC5-4045-9C18-0C620389CC09}"/>
    <cellStyle name="Normal 6 13 2 2 12" xfId="9857" xr:uid="{CACD70C5-FB98-4131-B946-7C1139B610E5}"/>
    <cellStyle name="Normal 6 13 2 2 13" xfId="9858" xr:uid="{574D422B-D821-4EA9-8F52-2B5B96A791AE}"/>
    <cellStyle name="Normal 6 13 2 2 14" xfId="9859" xr:uid="{BA55AA93-9336-4020-91B5-3CF0DCEED8F2}"/>
    <cellStyle name="Normal 6 13 2 2 15" xfId="9860" xr:uid="{7E6EF853-93F8-44C4-8970-2DA194307CE6}"/>
    <cellStyle name="Normal 6 13 2 2 16" xfId="9861" xr:uid="{EDB06F99-422E-41D4-B1D7-5D51518B386B}"/>
    <cellStyle name="Normal 6 13 2 2 17" xfId="9862" xr:uid="{09B4D587-5DC5-4543-BA4D-378581D57833}"/>
    <cellStyle name="Normal 6 13 2 2 18" xfId="9863" xr:uid="{9BB13B16-AE09-4091-95B5-BAFDE12D7E72}"/>
    <cellStyle name="Normal 6 13 2 2 19" xfId="9864" xr:uid="{AE333EA6-BEB9-414B-B486-3DF326FC5E35}"/>
    <cellStyle name="Normal 6 13 2 2 2" xfId="9865" xr:uid="{B62276FB-E6E6-4670-99B6-822C42A85A45}"/>
    <cellStyle name="Normal 6 13 2 2 20" xfId="9866" xr:uid="{305C4BE2-424F-48DA-B4DC-57F0D6B6FB95}"/>
    <cellStyle name="Normal 6 13 2 2 21" xfId="9867" xr:uid="{FF06D32B-4928-4205-A975-A548F2D26748}"/>
    <cellStyle name="Normal 6 13 2 2 22" xfId="9868" xr:uid="{D2AA9B9F-1376-4461-9371-3D5BEFBDBF3A}"/>
    <cellStyle name="Normal 6 13 2 2 23" xfId="9869" xr:uid="{3D44A2A7-AA38-460A-A4EF-CA92AC30C28F}"/>
    <cellStyle name="Normal 6 13 2 2 24" xfId="9870" xr:uid="{05EA9770-8C61-4C8C-B1D9-672FE661F6C7}"/>
    <cellStyle name="Normal 6 13 2 2 25" xfId="9871" xr:uid="{6A8DAF39-465C-4E99-8813-2BC66CA1AFE9}"/>
    <cellStyle name="Normal 6 13 2 2 26" xfId="9872" xr:uid="{624CD278-B059-43BF-904D-CBF7EBF377FC}"/>
    <cellStyle name="Normal 6 13 2 2 3" xfId="9873" xr:uid="{6723508C-5ED8-484C-91DC-211CC3BD3F0E}"/>
    <cellStyle name="Normal 6 13 2 2 4" xfId="9874" xr:uid="{90637763-A942-4868-A61F-205A1EF863DA}"/>
    <cellStyle name="Normal 6 13 2 2 5" xfId="9875" xr:uid="{3E28ADFE-5964-42E5-BDC3-02DCF379F914}"/>
    <cellStyle name="Normal 6 13 2 2 6" xfId="9876" xr:uid="{E7745C7F-81F2-4993-856A-6339FB9D5035}"/>
    <cellStyle name="Normal 6 13 2 2 7" xfId="9877" xr:uid="{090A69BB-315B-4956-BBFD-2A1DD236E34A}"/>
    <cellStyle name="Normal 6 13 2 2 8" xfId="9878" xr:uid="{D75A7456-9D16-4DCA-B135-A62E5BB071CB}"/>
    <cellStyle name="Normal 6 13 2 2 9" xfId="9879" xr:uid="{AD84B474-26E8-446B-B18B-7D8B49C1F6A6}"/>
    <cellStyle name="Normal 6 13 2 2_Manual Consol" xfId="9880" xr:uid="{CA689EA4-CB05-4CFB-ACD7-6FE979C52C35}"/>
    <cellStyle name="Normal 6 13 2 20" xfId="9881" xr:uid="{12427A70-D616-42A8-BFB6-8B69F9847AE9}"/>
    <cellStyle name="Normal 6 13 2 21" xfId="9882" xr:uid="{DF9B0D77-139C-422E-919A-D3C45EEE2CA5}"/>
    <cellStyle name="Normal 6 13 2 22" xfId="9883" xr:uid="{AE825187-8ACE-4F0F-BC19-6EFCF168E73B}"/>
    <cellStyle name="Normal 6 13 2 23" xfId="9884" xr:uid="{F572AA35-8D45-4B6D-9964-E7471769245F}"/>
    <cellStyle name="Normal 6 13 2 24" xfId="9885" xr:uid="{EC1DBC3D-CF83-4B68-A838-BB82333B38D9}"/>
    <cellStyle name="Normal 6 13 2 25" xfId="9886" xr:uid="{A5C2C2E3-7B5F-40CE-8F73-5D0394914D75}"/>
    <cellStyle name="Normal 6 13 2 26" xfId="9887" xr:uid="{0D991486-4E52-4214-A1AD-8D98306718C5}"/>
    <cellStyle name="Normal 6 13 2 27" xfId="9888" xr:uid="{435CE68B-E1A4-4A08-B2EA-B8D5C00D6C46}"/>
    <cellStyle name="Normal 6 13 2 28" xfId="9889" xr:uid="{58C96F45-E334-46CE-A607-42501AB9399B}"/>
    <cellStyle name="Normal 6 13 2 29" xfId="9890" xr:uid="{15FF65D1-CE40-400F-A9AB-F4A492683FF0}"/>
    <cellStyle name="Normal 6 13 2 3" xfId="9891" xr:uid="{11DB5DA7-DDF6-4855-9985-FC80F05955E0}"/>
    <cellStyle name="Normal 6 13 2 3 10" xfId="9892" xr:uid="{8E16A3F2-FA9F-40D6-A467-A3D25BE735B9}"/>
    <cellStyle name="Normal 6 13 2 3 11" xfId="9893" xr:uid="{B9960A4A-8AF0-427C-BB47-A6472C513215}"/>
    <cellStyle name="Normal 6 13 2 3 12" xfId="9894" xr:uid="{9A699E87-579C-407D-BFC3-B00AC40E617D}"/>
    <cellStyle name="Normal 6 13 2 3 13" xfId="9895" xr:uid="{86F676FB-1C2F-40F4-8BAA-09E175E3FC75}"/>
    <cellStyle name="Normal 6 13 2 3 14" xfId="9896" xr:uid="{A46715CD-8EC0-4DF1-8E22-3D77F8EC2219}"/>
    <cellStyle name="Normal 6 13 2 3 15" xfId="9897" xr:uid="{D1B4518C-6D92-4F03-A159-5114C6B17CFB}"/>
    <cellStyle name="Normal 6 13 2 3 16" xfId="9898" xr:uid="{FA46444C-3E89-4D44-8DF0-BD7F5BE7B9AD}"/>
    <cellStyle name="Normal 6 13 2 3 17" xfId="9899" xr:uid="{ADA94487-9667-4C60-8C82-152111E304F4}"/>
    <cellStyle name="Normal 6 13 2 3 18" xfId="9900" xr:uid="{E85E8972-1014-47E3-A071-CEBAC961F0F3}"/>
    <cellStyle name="Normal 6 13 2 3 19" xfId="9901" xr:uid="{D163E5A2-7061-43B3-8BD3-20D4B81639A3}"/>
    <cellStyle name="Normal 6 13 2 3 2" xfId="9902" xr:uid="{9593290E-D7A3-47D4-A36E-D505006ACC03}"/>
    <cellStyle name="Normal 6 13 2 3 20" xfId="9903" xr:uid="{C77923BE-19B9-45CD-8802-A458F8AE0C3E}"/>
    <cellStyle name="Normal 6 13 2 3 21" xfId="9904" xr:uid="{37CB4C85-6C69-4B48-BFA0-B044BD7DEC1E}"/>
    <cellStyle name="Normal 6 13 2 3 22" xfId="9905" xr:uid="{63C7E682-B82F-4B90-9031-B7596F3376BE}"/>
    <cellStyle name="Normal 6 13 2 3 23" xfId="9906" xr:uid="{8354CD44-EEFB-4930-94C4-28F9E4A6269A}"/>
    <cellStyle name="Normal 6 13 2 3 24" xfId="9907" xr:uid="{A9E24D5E-10A0-49B1-B94C-DEA252C3F211}"/>
    <cellStyle name="Normal 6 13 2 3 25" xfId="9908" xr:uid="{F5C4CD60-E6AC-428B-8CE5-F98348CA8271}"/>
    <cellStyle name="Normal 6 13 2 3 26" xfId="9909" xr:uid="{9C5192A7-D72C-4614-8813-BFBF25CC3E9D}"/>
    <cellStyle name="Normal 6 13 2 3 3" xfId="9910" xr:uid="{35C4DC7E-C29B-4CB5-BA10-41D79E8BBB8E}"/>
    <cellStyle name="Normal 6 13 2 3 4" xfId="9911" xr:uid="{6318D894-2909-4277-8740-0DB3DAB7C55F}"/>
    <cellStyle name="Normal 6 13 2 3 5" xfId="9912" xr:uid="{F2586DCE-4808-4C7B-9900-90CE8A4B8991}"/>
    <cellStyle name="Normal 6 13 2 3 6" xfId="9913" xr:uid="{D06EB3A7-0C38-41F0-A692-06609B4F3016}"/>
    <cellStyle name="Normal 6 13 2 3 7" xfId="9914" xr:uid="{67160E6A-B33D-470C-95AC-CCBED6A64AB9}"/>
    <cellStyle name="Normal 6 13 2 3 8" xfId="9915" xr:uid="{D0BCDC41-A03D-4C88-9A12-D868B93CC73E}"/>
    <cellStyle name="Normal 6 13 2 3 9" xfId="9916" xr:uid="{3CA1CA88-20A7-4D18-9A23-5D9FB8AE2CB3}"/>
    <cellStyle name="Normal 6 13 2 3_Manual Consol" xfId="9917" xr:uid="{2D7F95C6-800B-4293-9A0A-C7360F229ECE}"/>
    <cellStyle name="Normal 6 13 2 30" xfId="9918" xr:uid="{004BE23A-ADC6-4171-9851-B5FB79F48BFA}"/>
    <cellStyle name="Normal 6 13 2 31" xfId="9919" xr:uid="{08A9B7AE-8D13-4FF1-B2BA-6D649F84494B}"/>
    <cellStyle name="Normal 6 13 2 32" xfId="9920" xr:uid="{8B66A108-D0CA-4E13-888B-B559700AB280}"/>
    <cellStyle name="Normal 6 13 2 33" xfId="9921" xr:uid="{FA12D9A8-3ECE-4894-B538-E555FE5B68BC}"/>
    <cellStyle name="Normal 6 13 2 4" xfId="9922" xr:uid="{BBA1F4E5-A1D4-48E4-BECC-7FF5770DC0DE}"/>
    <cellStyle name="Normal 6 13 2 4 10" xfId="9923" xr:uid="{10A2CE20-5A0A-474E-A1C8-EBB77DA82916}"/>
    <cellStyle name="Normal 6 13 2 4 11" xfId="9924" xr:uid="{4CDD5123-F32D-4299-A474-A186555F8B6A}"/>
    <cellStyle name="Normal 6 13 2 4 12" xfId="9925" xr:uid="{475F5687-2428-464E-8487-3289E397A173}"/>
    <cellStyle name="Normal 6 13 2 4 13" xfId="9926" xr:uid="{7EB695F0-09C5-4339-B63D-8B4F179999B4}"/>
    <cellStyle name="Normal 6 13 2 4 14" xfId="9927" xr:uid="{439646D4-68E6-4A2B-9FB4-3DD449FCE09A}"/>
    <cellStyle name="Normal 6 13 2 4 15" xfId="9928" xr:uid="{4B684D49-5C56-4A8F-B0A4-6B09F6FCDAD1}"/>
    <cellStyle name="Normal 6 13 2 4 16" xfId="9929" xr:uid="{6494A0BB-F746-4951-A978-49E9A75A8D37}"/>
    <cellStyle name="Normal 6 13 2 4 17" xfId="9930" xr:uid="{3464B245-FCC7-4784-959D-D562BC4BD698}"/>
    <cellStyle name="Normal 6 13 2 4 18" xfId="9931" xr:uid="{0464374A-E264-47F2-8459-E1039590CA53}"/>
    <cellStyle name="Normal 6 13 2 4 19" xfId="9932" xr:uid="{1BAC157D-F30A-4D83-95F8-1740F4F74439}"/>
    <cellStyle name="Normal 6 13 2 4 2" xfId="9933" xr:uid="{DE424EB2-C3E8-45C0-A2BF-AFE2908FF195}"/>
    <cellStyle name="Normal 6 13 2 4 20" xfId="9934" xr:uid="{5706388C-A918-4828-8F75-F16496CB2875}"/>
    <cellStyle name="Normal 6 13 2 4 21" xfId="9935" xr:uid="{1E8E213F-218F-4981-BB17-36A0E92AE2A3}"/>
    <cellStyle name="Normal 6 13 2 4 22" xfId="9936" xr:uid="{56ECD63D-2A46-44B9-B7A8-60AB16978BA3}"/>
    <cellStyle name="Normal 6 13 2 4 23" xfId="9937" xr:uid="{426CC15F-F05E-457B-8C65-A50A13777D93}"/>
    <cellStyle name="Normal 6 13 2 4 24" xfId="9938" xr:uid="{159C40A8-FAE3-4358-B315-E486979DFAF6}"/>
    <cellStyle name="Normal 6 13 2 4 25" xfId="9939" xr:uid="{48ABB2FD-1870-4B8C-B703-C2686BA68DBB}"/>
    <cellStyle name="Normal 6 13 2 4 26" xfId="9940" xr:uid="{7183E538-EE63-45CD-BAEC-5674C3FD6086}"/>
    <cellStyle name="Normal 6 13 2 4 3" xfId="9941" xr:uid="{CE74F13D-9FFC-47E9-8C0C-A13C4D8F7B41}"/>
    <cellStyle name="Normal 6 13 2 4 4" xfId="9942" xr:uid="{8C8B4DB7-DA3C-4B56-BF81-F878453AE26C}"/>
    <cellStyle name="Normal 6 13 2 4 5" xfId="9943" xr:uid="{8FA46D38-44E5-4556-AB56-217B40275F40}"/>
    <cellStyle name="Normal 6 13 2 4 6" xfId="9944" xr:uid="{2A00ACC9-5626-4FE8-955F-DE8EFAEE44CD}"/>
    <cellStyle name="Normal 6 13 2 4 7" xfId="9945" xr:uid="{3FFC3C47-9A22-4FBF-AB8A-65EA56A0F4BE}"/>
    <cellStyle name="Normal 6 13 2 4 8" xfId="9946" xr:uid="{9D58BA28-B82C-4769-922F-6719154279EB}"/>
    <cellStyle name="Normal 6 13 2 4 9" xfId="9947" xr:uid="{52410A96-4EA5-47A5-AE23-8E8A08C273E9}"/>
    <cellStyle name="Normal 6 13 2 4_Manual Consol" xfId="9948" xr:uid="{8202016E-E0E7-495D-97FF-59A148C1CEA2}"/>
    <cellStyle name="Normal 6 13 2 5" xfId="9949" xr:uid="{FE144F1C-6BF9-46EC-BD6A-88AD3170D40C}"/>
    <cellStyle name="Normal 6 13 2 5 10" xfId="9950" xr:uid="{D4AB8647-0E8D-45D0-BB33-966BF589F473}"/>
    <cellStyle name="Normal 6 13 2 5 11" xfId="9951" xr:uid="{549A54B8-1FE7-4FF3-B43D-DB8E09AA0FF1}"/>
    <cellStyle name="Normal 6 13 2 5 12" xfId="9952" xr:uid="{F8017FAE-4C61-4230-AF97-0315556B7563}"/>
    <cellStyle name="Normal 6 13 2 5 13" xfId="9953" xr:uid="{567EDA53-C3FE-4CDB-B4A6-20A636D53C09}"/>
    <cellStyle name="Normal 6 13 2 5 14" xfId="9954" xr:uid="{9367FA99-4695-4047-A86F-AADB46E3D5E4}"/>
    <cellStyle name="Normal 6 13 2 5 15" xfId="9955" xr:uid="{933907F8-E507-467E-B28F-AD071E2B1C48}"/>
    <cellStyle name="Normal 6 13 2 5 16" xfId="9956" xr:uid="{B4D0EC33-3EAE-4D6A-BB65-DDE125C43CF6}"/>
    <cellStyle name="Normal 6 13 2 5 17" xfId="9957" xr:uid="{470DFF2E-17A9-454F-B13B-02399178CBDA}"/>
    <cellStyle name="Normal 6 13 2 5 18" xfId="9958" xr:uid="{B34436BF-E861-45BF-87F3-D5FE6F8BEEAA}"/>
    <cellStyle name="Normal 6 13 2 5 19" xfId="9959" xr:uid="{C7A3E381-EA7C-4903-BAA2-B62F4C29E1F7}"/>
    <cellStyle name="Normal 6 13 2 5 2" xfId="9960" xr:uid="{D692E69A-8E68-4DA0-A03E-0D9A3B969C02}"/>
    <cellStyle name="Normal 6 13 2 5 20" xfId="9961" xr:uid="{7D62F6DD-2583-4AD8-9EC7-3D408499C9C5}"/>
    <cellStyle name="Normal 6 13 2 5 21" xfId="9962" xr:uid="{C27A6F40-ACDE-49B5-98C8-BDDE993EFB96}"/>
    <cellStyle name="Normal 6 13 2 5 22" xfId="9963" xr:uid="{FA0C1D32-B730-4496-B341-EFD08D7FCB50}"/>
    <cellStyle name="Normal 6 13 2 5 23" xfId="9964" xr:uid="{9B32E664-A9F4-4773-9CDD-24D738058FE8}"/>
    <cellStyle name="Normal 6 13 2 5 24" xfId="9965" xr:uid="{EA87CFE2-4FE9-4EAF-B378-E6AE0B65826E}"/>
    <cellStyle name="Normal 6 13 2 5 25" xfId="9966" xr:uid="{84DDAA0D-ECD6-4CD4-B0B4-66E42A06A77F}"/>
    <cellStyle name="Normal 6 13 2 5 26" xfId="9967" xr:uid="{63974F57-4BBD-4A42-8ADB-5A9A4EB92F02}"/>
    <cellStyle name="Normal 6 13 2 5 3" xfId="9968" xr:uid="{D97D9588-430A-4A56-99D1-8F4DCA32984F}"/>
    <cellStyle name="Normal 6 13 2 5 4" xfId="9969" xr:uid="{60762AC2-8497-4148-A116-5837432ED60D}"/>
    <cellStyle name="Normal 6 13 2 5 5" xfId="9970" xr:uid="{D13F0F7D-ABA1-4DC9-9C70-453873F3E971}"/>
    <cellStyle name="Normal 6 13 2 5 6" xfId="9971" xr:uid="{310095CB-EDD5-4654-A084-31293F21B379}"/>
    <cellStyle name="Normal 6 13 2 5 7" xfId="9972" xr:uid="{B6FDB201-7D66-485A-B049-A99AD0F42C74}"/>
    <cellStyle name="Normal 6 13 2 5 8" xfId="9973" xr:uid="{098C60C5-6F4F-4E7A-841E-356F40DACCA7}"/>
    <cellStyle name="Normal 6 13 2 5 9" xfId="9974" xr:uid="{6C277197-50B7-4963-AC7B-65FBEA67FBB4}"/>
    <cellStyle name="Normal 6 13 2 5_Manual Consol" xfId="9975" xr:uid="{3C621103-954D-4FCF-80EE-868C43AD9D0B}"/>
    <cellStyle name="Normal 6 13 2 6" xfId="9976" xr:uid="{0C3972F6-1D89-4622-96F0-5A5A618696AB}"/>
    <cellStyle name="Normal 6 13 2 6 10" xfId="9977" xr:uid="{32551898-F0CD-41B7-A3F1-B7893C171B3C}"/>
    <cellStyle name="Normal 6 13 2 6 11" xfId="9978" xr:uid="{5D229E20-A37E-4FA7-B268-77A2D1264E76}"/>
    <cellStyle name="Normal 6 13 2 6 12" xfId="9979" xr:uid="{EAAF9BB8-8066-49E9-A334-5709D0D530F8}"/>
    <cellStyle name="Normal 6 13 2 6 13" xfId="9980" xr:uid="{9EDDB4A0-8B64-4F29-B25B-987F7B30F71E}"/>
    <cellStyle name="Normal 6 13 2 6 14" xfId="9981" xr:uid="{26F144A8-4D50-4500-BCD2-CEDD72944164}"/>
    <cellStyle name="Normal 6 13 2 6 15" xfId="9982" xr:uid="{59F2136E-3322-4B26-BCE0-905E0223FA18}"/>
    <cellStyle name="Normal 6 13 2 6 16" xfId="9983" xr:uid="{62B2DFFB-4563-4702-AB93-DD6A54E6C40B}"/>
    <cellStyle name="Normal 6 13 2 6 17" xfId="9984" xr:uid="{46A8435B-5203-4BEA-A021-48F0E9BA6A9D}"/>
    <cellStyle name="Normal 6 13 2 6 18" xfId="9985" xr:uid="{57C308E4-8E59-4490-B575-7A422C2B951E}"/>
    <cellStyle name="Normal 6 13 2 6 19" xfId="9986" xr:uid="{C505BB36-451C-4122-B475-DDD381409571}"/>
    <cellStyle name="Normal 6 13 2 6 2" xfId="9987" xr:uid="{B067A83D-64F2-472F-BDF7-D3F855A8C28E}"/>
    <cellStyle name="Normal 6 13 2 6 20" xfId="9988" xr:uid="{CFA0EAE8-32BA-4476-BED9-BAB7ABB52EA2}"/>
    <cellStyle name="Normal 6 13 2 6 21" xfId="9989" xr:uid="{2E00E401-9F44-4BD8-A87C-38E360F8615D}"/>
    <cellStyle name="Normal 6 13 2 6 22" xfId="9990" xr:uid="{E23F0BDC-C9A1-4673-BC8B-D60C81B8F0B3}"/>
    <cellStyle name="Normal 6 13 2 6 23" xfId="9991" xr:uid="{7D33304D-B21D-47AC-9968-ED86A23EAC27}"/>
    <cellStyle name="Normal 6 13 2 6 24" xfId="9992" xr:uid="{0C686A39-E3AB-44EA-9D5D-E72FC6C9F32B}"/>
    <cellStyle name="Normal 6 13 2 6 25" xfId="9993" xr:uid="{B0F09FC1-F779-42A4-9751-C9ABDDBE9573}"/>
    <cellStyle name="Normal 6 13 2 6 26" xfId="9994" xr:uid="{F0961AE2-3F2D-4CC2-A50F-0ACA9FCDFCDC}"/>
    <cellStyle name="Normal 6 13 2 6 3" xfId="9995" xr:uid="{F4D4C443-7A46-4926-A73A-14C807BB178B}"/>
    <cellStyle name="Normal 6 13 2 6 4" xfId="9996" xr:uid="{F41EB793-BE4D-47F9-9B11-63A66BE76EA4}"/>
    <cellStyle name="Normal 6 13 2 6 5" xfId="9997" xr:uid="{F719A8A9-2788-4489-9FA2-41ECE1E45EA3}"/>
    <cellStyle name="Normal 6 13 2 6 6" xfId="9998" xr:uid="{0AC70984-7167-44C4-A422-F2DC577033A8}"/>
    <cellStyle name="Normal 6 13 2 6 7" xfId="9999" xr:uid="{841BF677-D3BB-4802-90C3-4D8C01506639}"/>
    <cellStyle name="Normal 6 13 2 6 8" xfId="10000" xr:uid="{30FCC64A-61E9-48A9-8838-640C2C3F9868}"/>
    <cellStyle name="Normal 6 13 2 6 9" xfId="10001" xr:uid="{E4C92CE1-E4CD-4C1B-8617-F117923705D3}"/>
    <cellStyle name="Normal 6 13 2 6_Manual Consol" xfId="10002" xr:uid="{5AD721F2-E8EA-4B4E-85D0-34A35C171DD7}"/>
    <cellStyle name="Normal 6 13 2 7" xfId="10003" xr:uid="{0E124BDB-F645-4E2D-8951-2D260995412A}"/>
    <cellStyle name="Normal 6 13 2 7 10" xfId="10004" xr:uid="{D701DF84-827F-4049-B20B-1969DD46B993}"/>
    <cellStyle name="Normal 6 13 2 7 11" xfId="10005" xr:uid="{DCFF1399-39B4-4ED8-AF1E-EFAD822C5D8E}"/>
    <cellStyle name="Normal 6 13 2 7 12" xfId="10006" xr:uid="{32C90FC1-C54B-4C7A-AB92-CB9C75200D22}"/>
    <cellStyle name="Normal 6 13 2 7 13" xfId="10007" xr:uid="{3ABAC909-85D9-4449-ADC6-8ED47384E528}"/>
    <cellStyle name="Normal 6 13 2 7 14" xfId="10008" xr:uid="{CE7674AE-4BE0-41C4-9B13-38364BE32B8C}"/>
    <cellStyle name="Normal 6 13 2 7 15" xfId="10009" xr:uid="{29C321FE-BB1A-4285-B18A-35BBA866F8ED}"/>
    <cellStyle name="Normal 6 13 2 7 16" xfId="10010" xr:uid="{E77FDFD8-EE12-477B-8D5E-6C33CDC1D4BB}"/>
    <cellStyle name="Normal 6 13 2 7 17" xfId="10011" xr:uid="{37578FF6-B8E4-408C-A3FD-5D4205930512}"/>
    <cellStyle name="Normal 6 13 2 7 18" xfId="10012" xr:uid="{FF6EA41C-8700-4B93-B712-63C87EF6DCB2}"/>
    <cellStyle name="Normal 6 13 2 7 19" xfId="10013" xr:uid="{5C476301-6C58-435D-95DE-E7D8776B41C6}"/>
    <cellStyle name="Normal 6 13 2 7 2" xfId="10014" xr:uid="{AF7441A0-818D-44D0-B85B-1C71BFB453DA}"/>
    <cellStyle name="Normal 6 13 2 7 20" xfId="10015" xr:uid="{5991A8F1-FF5E-4E11-AD7E-53D77F98F2B7}"/>
    <cellStyle name="Normal 6 13 2 7 21" xfId="10016" xr:uid="{45B3E2A5-D45E-4499-A17C-D426B1681653}"/>
    <cellStyle name="Normal 6 13 2 7 22" xfId="10017" xr:uid="{43FAD312-44F3-4CD8-8A4B-55833E2AD9B1}"/>
    <cellStyle name="Normal 6 13 2 7 23" xfId="10018" xr:uid="{B8684226-9098-481B-BD1B-3AEBFF924721}"/>
    <cellStyle name="Normal 6 13 2 7 24" xfId="10019" xr:uid="{93EA1E5B-75CE-4DFA-8D8B-6175BC93AB5C}"/>
    <cellStyle name="Normal 6 13 2 7 25" xfId="10020" xr:uid="{2EE26EAA-6DF0-4C8E-A24B-1C506FDBDD23}"/>
    <cellStyle name="Normal 6 13 2 7 26" xfId="10021" xr:uid="{CC75549A-CE2A-45A0-8D93-8F63BF6A1E2E}"/>
    <cellStyle name="Normal 6 13 2 7 3" xfId="10022" xr:uid="{2C84CACA-5FEA-4236-834C-15DDC26034DA}"/>
    <cellStyle name="Normal 6 13 2 7 4" xfId="10023" xr:uid="{E0B86357-89D9-455A-8113-8BE44ED7A6E7}"/>
    <cellStyle name="Normal 6 13 2 7 5" xfId="10024" xr:uid="{EB399727-A4AA-49C5-AEA5-2A701376EED8}"/>
    <cellStyle name="Normal 6 13 2 7 6" xfId="10025" xr:uid="{D8DA41A8-CA4A-4554-B34D-143AF7879E8A}"/>
    <cellStyle name="Normal 6 13 2 7 7" xfId="10026" xr:uid="{24360C9E-90CF-47FE-94A8-C69A45BA5BCD}"/>
    <cellStyle name="Normal 6 13 2 7 8" xfId="10027" xr:uid="{A5E211DB-F43B-4A13-BA6F-560F03D67E69}"/>
    <cellStyle name="Normal 6 13 2 7 9" xfId="10028" xr:uid="{B8B5661D-81CD-42D4-8CF9-009BC75A6944}"/>
    <cellStyle name="Normal 6 13 2 7_Manual Consol" xfId="10029" xr:uid="{C5337C1E-ADF9-4619-822D-5CB7E0C6A768}"/>
    <cellStyle name="Normal 6 13 2 8" xfId="10030" xr:uid="{087BA233-E822-4267-9591-B4A157B3D04C}"/>
    <cellStyle name="Normal 6 13 2 8 10" xfId="10031" xr:uid="{B0B08E7A-FB97-40EC-91B9-8A2008CF3E49}"/>
    <cellStyle name="Normal 6 13 2 8 11" xfId="10032" xr:uid="{45E096A7-AE09-4E32-961E-0797F3B94EA4}"/>
    <cellStyle name="Normal 6 13 2 8 12" xfId="10033" xr:uid="{78191BAA-6D06-4C64-BD7D-B7D7C2D46E17}"/>
    <cellStyle name="Normal 6 13 2 8 13" xfId="10034" xr:uid="{A59FAF87-6AD2-47A8-9A6B-8BF50697A1C9}"/>
    <cellStyle name="Normal 6 13 2 8 14" xfId="10035" xr:uid="{97E5C795-E135-4A9E-9A82-D623C56C58C9}"/>
    <cellStyle name="Normal 6 13 2 8 15" xfId="10036" xr:uid="{DF172B64-5EB7-4797-BED2-9F17ECD945FE}"/>
    <cellStyle name="Normal 6 13 2 8 16" xfId="10037" xr:uid="{DFF950D5-540B-4873-B44D-7388408BC950}"/>
    <cellStyle name="Normal 6 13 2 8 17" xfId="10038" xr:uid="{8566B372-2CEF-46D5-9B18-61ADB42445F0}"/>
    <cellStyle name="Normal 6 13 2 8 18" xfId="10039" xr:uid="{30471781-093A-4F1C-8457-4EA2A7937423}"/>
    <cellStyle name="Normal 6 13 2 8 19" xfId="10040" xr:uid="{0032069D-FB74-4679-8E52-5669E859A340}"/>
    <cellStyle name="Normal 6 13 2 8 2" xfId="10041" xr:uid="{50226472-8FA6-4064-898A-5C09FDAEE96D}"/>
    <cellStyle name="Normal 6 13 2 8 20" xfId="10042" xr:uid="{571315C6-1CC9-4D3E-8B08-33A3DDFC9455}"/>
    <cellStyle name="Normal 6 13 2 8 21" xfId="10043" xr:uid="{13FDBDE0-B570-4E01-9C8E-E14F9B7CF664}"/>
    <cellStyle name="Normal 6 13 2 8 22" xfId="10044" xr:uid="{ADF866F8-769A-4842-B3D5-ADD7A8E49EBD}"/>
    <cellStyle name="Normal 6 13 2 8 23" xfId="10045" xr:uid="{C9283C28-DFAE-4689-A01C-514C59572879}"/>
    <cellStyle name="Normal 6 13 2 8 24" xfId="10046" xr:uid="{A60F536A-254C-40F8-A458-C71099F5BB1A}"/>
    <cellStyle name="Normal 6 13 2 8 25" xfId="10047" xr:uid="{991FE77E-8FD7-41CF-817C-54944659EA43}"/>
    <cellStyle name="Normal 6 13 2 8 26" xfId="10048" xr:uid="{27D0F87A-26DF-41BB-87F3-718528C182A0}"/>
    <cellStyle name="Normal 6 13 2 8 3" xfId="10049" xr:uid="{2849F050-EA57-4CA5-B6BF-0067023223C3}"/>
    <cellStyle name="Normal 6 13 2 8 4" xfId="10050" xr:uid="{3CFB5F8E-3E87-4768-A644-BD98A4CEE988}"/>
    <cellStyle name="Normal 6 13 2 8 5" xfId="10051" xr:uid="{6CA6D1B5-A1B8-472A-8AE7-8082B059BD21}"/>
    <cellStyle name="Normal 6 13 2 8 6" xfId="10052" xr:uid="{9517A438-F0F8-479F-82CC-E4C058AEFD74}"/>
    <cellStyle name="Normal 6 13 2 8 7" xfId="10053" xr:uid="{07DCDE72-CA37-4F8A-B096-4DBA6AB07008}"/>
    <cellStyle name="Normal 6 13 2 8 8" xfId="10054" xr:uid="{D09FE3A0-37F8-4ED6-8395-08A64EA3B24F}"/>
    <cellStyle name="Normal 6 13 2 8 9" xfId="10055" xr:uid="{DC4464EC-E3F3-40DA-87F7-5C09076CFB5D}"/>
    <cellStyle name="Normal 6 13 2 8_Manual Consol" xfId="10056" xr:uid="{73AD5D1C-F40C-47A2-99D8-847FBAC42239}"/>
    <cellStyle name="Normal 6 13 2 9" xfId="10057" xr:uid="{EB13B5B8-A984-43DF-8A61-000A740D8E1C}"/>
    <cellStyle name="Normal 6 13 2_Manual Consol" xfId="10058" xr:uid="{B88DCF6F-CAF1-4DBD-A3DC-E9BAEF137303}"/>
    <cellStyle name="Normal 6 13 20" xfId="10059" xr:uid="{D0DF4831-9296-4205-9017-03862583A99C}"/>
    <cellStyle name="Normal 6 13 21" xfId="10060" xr:uid="{73F37462-C1F1-4835-BB0D-CA27E75A3F80}"/>
    <cellStyle name="Normal 6 13 22" xfId="10061" xr:uid="{E684967A-DAF7-4254-92DA-D1E57E48EF3A}"/>
    <cellStyle name="Normal 6 13 23" xfId="10062" xr:uid="{44ADAA4A-D6A4-4D9B-99CB-3B3A89D00A4C}"/>
    <cellStyle name="Normal 6 13 24" xfId="10063" xr:uid="{971D1659-B0E7-4E03-991C-ABC50F5D022D}"/>
    <cellStyle name="Normal 6 13 25" xfId="10064" xr:uid="{404527AD-599C-4643-8C5B-5436B1517EE9}"/>
    <cellStyle name="Normal 6 13 26" xfId="10065" xr:uid="{B5ECCE79-882E-4D24-88AB-B4360E2D5C05}"/>
    <cellStyle name="Normal 6 13 27" xfId="10066" xr:uid="{8F2224B0-D38A-4580-AB51-920223EE94EC}"/>
    <cellStyle name="Normal 6 13 28" xfId="10067" xr:uid="{A78447D7-873B-4D6E-9855-048468343204}"/>
    <cellStyle name="Normal 6 13 29" xfId="10068" xr:uid="{646BE339-6E78-4757-863F-F1363530B2DB}"/>
    <cellStyle name="Normal 6 13 3" xfId="10069" xr:uid="{96D05DA1-5891-4261-9888-F664ACB64613}"/>
    <cellStyle name="Normal 6 13 3 10" xfId="10070" xr:uid="{768CE45B-3986-4123-85DC-786B227FB948}"/>
    <cellStyle name="Normal 6 13 3 11" xfId="10071" xr:uid="{B4BD76BE-C78B-4D69-B795-46D296B0EF09}"/>
    <cellStyle name="Normal 6 13 3 12" xfId="10072" xr:uid="{1313CB33-26F7-4B74-AC5F-B0FF1A245939}"/>
    <cellStyle name="Normal 6 13 3 13" xfId="10073" xr:uid="{3CC2134A-E835-4DD7-A57D-1A13AC261934}"/>
    <cellStyle name="Normal 6 13 3 14" xfId="10074" xr:uid="{E3878A54-7ABE-48FD-A578-5F91DCE52BAC}"/>
    <cellStyle name="Normal 6 13 3 15" xfId="10075" xr:uid="{E709DA0B-EF29-4B6E-AE89-FBE0BA769A3B}"/>
    <cellStyle name="Normal 6 13 3 16" xfId="10076" xr:uid="{DA92F2F8-E2F2-48D8-AEC5-6E0CA5968B05}"/>
    <cellStyle name="Normal 6 13 3 17" xfId="10077" xr:uid="{518F9A59-A78B-4BE3-86DF-EF25D3F275D3}"/>
    <cellStyle name="Normal 6 13 3 18" xfId="10078" xr:uid="{697E6870-1F0D-4F43-B6EF-CC993C3C5C36}"/>
    <cellStyle name="Normal 6 13 3 19" xfId="10079" xr:uid="{E5B629AF-86BD-46C8-8EF4-17F91F0114D5}"/>
    <cellStyle name="Normal 6 13 3 2" xfId="10080" xr:uid="{B9BCC80E-69A8-4919-B881-2356A54780FC}"/>
    <cellStyle name="Normal 6 13 3 2 10" xfId="10081" xr:uid="{C7F07CF5-EA4F-4D94-932A-A1034C0ECD09}"/>
    <cellStyle name="Normal 6 13 3 2 11" xfId="10082" xr:uid="{5D67917C-9D81-4706-982E-D7CD251AB13D}"/>
    <cellStyle name="Normal 6 13 3 2 12" xfId="10083" xr:uid="{F203D3AF-CF2F-4576-9A45-2D2071119E44}"/>
    <cellStyle name="Normal 6 13 3 2 13" xfId="10084" xr:uid="{E4952352-82F8-4940-BE7F-C2D25B4FB0BD}"/>
    <cellStyle name="Normal 6 13 3 2 14" xfId="10085" xr:uid="{6FBEF9F7-9606-481A-9502-CFBF29FD0392}"/>
    <cellStyle name="Normal 6 13 3 2 15" xfId="10086" xr:uid="{2F141EAA-E6DD-42D0-B782-0953BF3D375D}"/>
    <cellStyle name="Normal 6 13 3 2 16" xfId="10087" xr:uid="{9FC95B1B-C135-4EA8-B499-9BAA0BC42E2C}"/>
    <cellStyle name="Normal 6 13 3 2 17" xfId="10088" xr:uid="{7AAB775F-B91B-446F-ADF2-407266EB6329}"/>
    <cellStyle name="Normal 6 13 3 2 18" xfId="10089" xr:uid="{D6F690B2-A945-4F55-B384-4BA36F75CA3C}"/>
    <cellStyle name="Normal 6 13 3 2 19" xfId="10090" xr:uid="{A92D4E6D-E722-44A1-B0B0-743AA9062536}"/>
    <cellStyle name="Normal 6 13 3 2 2" xfId="10091" xr:uid="{39B19908-6315-4993-9045-7C4ABDBE91E3}"/>
    <cellStyle name="Normal 6 13 3 2 20" xfId="10092" xr:uid="{C9D190C2-F298-4932-AED9-040BDA319582}"/>
    <cellStyle name="Normal 6 13 3 2 21" xfId="10093" xr:uid="{1007CFB9-99C0-46D6-AC58-ABE8E4BF81F4}"/>
    <cellStyle name="Normal 6 2" xfId="353" xr:uid="{00000000-0005-0000-0000-000082110000}"/>
    <cellStyle name="Normal 6 2 2" xfId="4382" xr:uid="{00000000-0005-0000-0000-000083110000}"/>
    <cellStyle name="Normal 6 2 2 2" xfId="4383" xr:uid="{00000000-0005-0000-0000-000084110000}"/>
    <cellStyle name="Normal 6 2 2 2 2" xfId="10094" xr:uid="{03223108-30BD-45AD-AE93-9756E06737FA}"/>
    <cellStyle name="Normal 6 2 2 2 2 2" xfId="10095" xr:uid="{EE0409E6-7233-4E0D-8D13-430D5CC7E0C0}"/>
    <cellStyle name="Normal 6 2 2 2 2 2 2" xfId="10096" xr:uid="{B0F49F69-7E04-4F28-A391-C0DCEFF2A8D4}"/>
    <cellStyle name="Normal 6 2 2 2 2 2 2 2" xfId="10097" xr:uid="{7978D787-11C3-4B39-8342-1655A7191424}"/>
    <cellStyle name="Normal 6 2 2 2 2 2 2 2 2" xfId="10098" xr:uid="{73DF1AA2-CE3B-4D60-B0FD-23B37FEB6F71}"/>
    <cellStyle name="Normal 6 2 2 2 2 2 2 2 2 2" xfId="10099" xr:uid="{D375D939-3933-4D48-93E4-9DB88A255EE6}"/>
    <cellStyle name="Normal 6 2 2 2 2 2 2 2 2 2 2" xfId="10100" xr:uid="{7DD7BB7E-11A5-4826-A48E-8B720A7708D4}"/>
    <cellStyle name="Normal 6 2 2 2 2 2 2 2 2 2_By country" xfId="10101" xr:uid="{E04D33A3-49FF-4FF1-BEBD-7FDD4E68277E}"/>
    <cellStyle name="Normal 6 2 2 2 2 2 2 2 2 3" xfId="10102" xr:uid="{00C16385-7620-4297-99EE-74A69EE966E5}"/>
    <cellStyle name="Normal 6 2 2 2 2 2 2 2 2_By country" xfId="10103" xr:uid="{394FE1E4-69E5-425C-A158-FDBACA062F1F}"/>
    <cellStyle name="Normal 6 2 2 2 2 2 2 2 3" xfId="10104" xr:uid="{607C4B73-27A0-48B4-ABF6-6E5977A4BCE2}"/>
    <cellStyle name="Normal 6 2 2 2 2 2 2 2 3 2" xfId="10105" xr:uid="{40783A4A-3466-401D-BB1A-C4563399149B}"/>
    <cellStyle name="Normal 6 2 2 2 2 2 2 2 3_By country" xfId="10106" xr:uid="{8BF40F32-D6A3-4801-B306-5CE2E8A5A6AF}"/>
    <cellStyle name="Normal 6 2 2 2 2 2 2 2 4" xfId="10107" xr:uid="{B3CE2C27-B5A0-4C36-8AF8-0C8950B8BDF3}"/>
    <cellStyle name="Normal 6 2 2 2 2 2 2 2_By country" xfId="10108" xr:uid="{CA31A7E3-3536-40AB-B1C3-72C8079E2192}"/>
    <cellStyle name="Normal 6 2 2 2 2 2 2 3" xfId="10109" xr:uid="{6883CEDB-530F-4F82-95B4-E2B15BACAC6F}"/>
    <cellStyle name="Normal 6 2 2 2 2 2 2 3 2" xfId="10110" xr:uid="{41B448B4-9A12-4A49-9134-63A15CBB350C}"/>
    <cellStyle name="Normal 6 2 2 2 2 2 2 3 2 2" xfId="10111" xr:uid="{80E93B36-9C96-4E5D-9FD2-EBFCB1665914}"/>
    <cellStyle name="Normal 6 2 2 2 2 2 2 3 2_By country" xfId="10112" xr:uid="{FC86AD12-994D-4A01-914A-6C47918B321F}"/>
    <cellStyle name="Normal 6 2 2 2 2 2 2 3 3" xfId="10113" xr:uid="{3197F1E9-14CF-4E18-AD5C-9A3E82BE3BB9}"/>
    <cellStyle name="Normal 6 2 2 2 2 2 2 3_By country" xfId="10114" xr:uid="{97851ADB-FC8A-4B7D-B209-AD787FB5DCB2}"/>
    <cellStyle name="Normal 6 2 2 2 2 2 2 4" xfId="10115" xr:uid="{F7A06FB7-56C1-4CA8-BEE6-A408761F6C4F}"/>
    <cellStyle name="Normal 6 2 2 2 2 2 2 4 2" xfId="10116" xr:uid="{6A8E42CA-146B-495D-9362-70A46A3A9511}"/>
    <cellStyle name="Normal 6 2 2 2 2 2 2 4_By country" xfId="10117" xr:uid="{41934789-73C7-41CD-9983-B54A11876962}"/>
    <cellStyle name="Normal 6 2 2 2 2 2 2 5" xfId="10118" xr:uid="{3D16B1C2-8CA6-41D3-9953-793E9E354DE2}"/>
    <cellStyle name="Normal 6 2 2 2 2 2 2_By country" xfId="10119" xr:uid="{7FDA7B5F-5F32-4C85-9B2F-3E93B36722B3}"/>
    <cellStyle name="Normal 6 2 2 2 2 2 3" xfId="10120" xr:uid="{C6A65163-894E-43EB-BD37-A687F828869B}"/>
    <cellStyle name="Normal 6 2 2 2 2 2 3 2" xfId="10121" xr:uid="{640E2645-9715-438C-84DD-C73948481F72}"/>
    <cellStyle name="Normal 6 2 2 2 2 2 3 2 2" xfId="10122" xr:uid="{62FD1C10-ED4A-464B-845D-C88BD7FFB2C9}"/>
    <cellStyle name="Normal 6 2 2 2 2 2 3 2 2 2" xfId="10123" xr:uid="{BD0BA5FF-BDCB-4F83-B764-BBA1A848C7D7}"/>
    <cellStyle name="Normal 6 2 2 2 2 2 3 2 2_By country" xfId="10124" xr:uid="{DEE48CC7-2294-4424-9918-F9F47830373F}"/>
    <cellStyle name="Normal 6 2 2 2 2 2 3 2 3" xfId="10125" xr:uid="{4A2A1E96-A663-4CFE-8A73-C4CE456EDF34}"/>
    <cellStyle name="Normal 6 2 2 2 2 2 3 2_By country" xfId="10126" xr:uid="{A968597A-050F-49BA-8876-EEE9F86BCCEC}"/>
    <cellStyle name="Normal 6 2 2 2 2 2 3 3" xfId="10127" xr:uid="{8F839077-B1E1-4131-B766-3A4E28AEA1C1}"/>
    <cellStyle name="Normal 6 2 2 2 2 2 3 3 2" xfId="10128" xr:uid="{1659316E-50CB-453E-BEEF-BC1E848E63F2}"/>
    <cellStyle name="Normal 6 2 2 2 2 2 3 3_By country" xfId="10129" xr:uid="{A031FF7E-A0FF-4498-9D3E-DAFDC6D4702E}"/>
    <cellStyle name="Normal 6 2 2 2 2 2 3 4" xfId="10130" xr:uid="{019940D6-4FBC-4179-82F3-6570C96C5D9C}"/>
    <cellStyle name="Normal 6 2 2 2 2 2 3_By country" xfId="10131" xr:uid="{EC24F380-4144-40E9-89C6-F4FACF5F9AB0}"/>
    <cellStyle name="Normal 6 2 2 2 2 2 4" xfId="10132" xr:uid="{3710060A-57D7-462F-81A8-24D3105CE306}"/>
    <cellStyle name="Normal 6 2 2 2 2 2 4 2" xfId="10133" xr:uid="{B3D5A43B-182E-43F2-BDBA-83FDAF2DE2C9}"/>
    <cellStyle name="Normal 6 2 2 2 2 2 4 2 2" xfId="10134" xr:uid="{2F40B9C5-5C94-40C1-B968-EB9F6212740B}"/>
    <cellStyle name="Normal 6 2 2 2 2 2 4 2_By country" xfId="10135" xr:uid="{EB47EC46-AB6D-41B2-952B-31C3C8B04690}"/>
    <cellStyle name="Normal 6 2 2 2 2 2 4 3" xfId="10136" xr:uid="{BD15ADDF-03EC-432F-A6F7-BC0370D90B02}"/>
    <cellStyle name="Normal 6 2 2 2 2 2 4_By country" xfId="10137" xr:uid="{63BAADF5-C708-4CE4-9B46-AF4F791EBEA3}"/>
    <cellStyle name="Normal 6 2 2 2 2 2 5" xfId="10138" xr:uid="{67F84080-175C-47E3-868E-AEB3BB64EAFC}"/>
    <cellStyle name="Normal 6 2 2 2 2 2 5 2" xfId="10139" xr:uid="{EFC39C0F-1F24-4930-A7C6-0710B1B2B50C}"/>
    <cellStyle name="Normal 6 2 2 2 2 2 5_By country" xfId="10140" xr:uid="{D1C9C204-637B-4FD5-B210-EFEB63774472}"/>
    <cellStyle name="Normal 6 2 2 2 2 2 6" xfId="10141" xr:uid="{58A5E4B5-4247-49C9-988C-3206CCA8DF04}"/>
    <cellStyle name="Normal 6 2 2 2 2 2_By country" xfId="10142" xr:uid="{9D059D41-1DBE-4541-A635-6525DCDAFCED}"/>
    <cellStyle name="Normal 6 2 2 2 2 3" xfId="10143" xr:uid="{C1E92D2B-F972-4C96-881E-B86AB4710DA0}"/>
    <cellStyle name="Normal 6 2 2 2 2 3 2" xfId="10144" xr:uid="{5FC4D8C2-37AF-4669-A892-C66C2EC1DCE9}"/>
    <cellStyle name="Normal 6 2 2 2 2 3 2 2" xfId="10145" xr:uid="{21FB11D4-C3D6-4A4E-9B8F-3FC7026B6965}"/>
    <cellStyle name="Normal 6 2 2 2 2 3 2 2 2" xfId="10146" xr:uid="{C330150D-B4D8-46B3-8119-E0EEB1D528EB}"/>
    <cellStyle name="Normal 6 2 2 2 2 3 2 2_By country" xfId="10147" xr:uid="{31060108-AC2A-4E2F-A5F1-D01CFFAC1FBE}"/>
    <cellStyle name="Normal 6 2 2 2 2 3 2 3" xfId="10148" xr:uid="{6BBC71E4-3034-4CCF-A39E-6392982376C1}"/>
    <cellStyle name="Normal 6 2 2 2 2 3 2_By country" xfId="10149" xr:uid="{B0F67D7D-9949-4ECE-A601-A6DA956940A6}"/>
    <cellStyle name="Normal 6 2 2 2 2 3 3" xfId="10150" xr:uid="{B050C9C3-932A-4EA9-8574-1B33FEFDB814}"/>
    <cellStyle name="Normal 6 2 2 2 2 3 3 2" xfId="10151" xr:uid="{2679C198-EC79-4DC9-8FB5-BA287BC9B5D6}"/>
    <cellStyle name="Normal 6 2 2 2 2 3 3_By country" xfId="10152" xr:uid="{4567CDF3-046F-404D-B132-711B0E47EEA1}"/>
    <cellStyle name="Normal 6 2 2 2 2 3 4" xfId="10153" xr:uid="{B008C36C-1B54-428E-BA8A-FA5D284FBF02}"/>
    <cellStyle name="Normal 6 2 2 2 2 3_By country" xfId="10154" xr:uid="{59016DE6-7A36-46C4-B54C-1C6956F36A86}"/>
    <cellStyle name="Normal 6 2 2 2 2 4" xfId="10155" xr:uid="{89961D25-AC83-4E46-A8C4-5461F4E8B574}"/>
    <cellStyle name="Normal 6 2 2 2 2 4 2" xfId="10156" xr:uid="{D9A3E737-A444-45AE-A5D9-A861989606FD}"/>
    <cellStyle name="Normal 6 2 2 2 2 4 2 2" xfId="10157" xr:uid="{6B824E2B-852E-4EB5-A275-65AEAE47551B}"/>
    <cellStyle name="Normal 6 2 2 2 2 4 2_By country" xfId="10158" xr:uid="{F556920F-FD08-43EA-86C0-FAC07F51D6C7}"/>
    <cellStyle name="Normal 6 2 2 2 2 4 3" xfId="10159" xr:uid="{CF189FA8-52C1-4BD7-BAAF-702638F97D74}"/>
    <cellStyle name="Normal 6 2 2 2 2 4_By country" xfId="10160" xr:uid="{8B02FCFA-823B-4D76-A23C-84A82C8B4F6A}"/>
    <cellStyle name="Normal 6 2 2 2 2 5" xfId="10161" xr:uid="{545CF726-03CA-4972-A385-9755126A57DF}"/>
    <cellStyle name="Normal 6 2 2 2 2 5 2" xfId="10162" xr:uid="{DB701C69-E00B-4A92-94B1-96F9493EF1B3}"/>
    <cellStyle name="Normal 6 2 2 2 2 5_By country" xfId="10163" xr:uid="{99EFE89E-04FF-4EF4-A14C-A490C3BC306D}"/>
    <cellStyle name="Normal 6 2 2 2 2 6" xfId="10164" xr:uid="{B01B7245-B236-4383-95D2-BE169827B746}"/>
    <cellStyle name="Normal 6 2 2 2 2_By country" xfId="10165" xr:uid="{75BEE2C2-7D03-4420-AE04-F560D475058B}"/>
    <cellStyle name="Normal 6 2 2 2 3" xfId="10166" xr:uid="{29756470-32B4-4621-AB8D-73E54E47063A}"/>
    <cellStyle name="Normal 6 2 2 2 3 2" xfId="10167" xr:uid="{825B3B5E-5F26-4A18-91B7-659BE7ED55A0}"/>
    <cellStyle name="Normal 6 2 2 2 3 2 2" xfId="10168" xr:uid="{67590618-5C05-4B8E-B830-E4F110B87979}"/>
    <cellStyle name="Normal 6 2 2 2 3 2 2 2" xfId="10169" xr:uid="{E6A10246-FE53-4595-AF44-69001539EBE6}"/>
    <cellStyle name="Normal 6 2 2 2 3 2 2_By country" xfId="10170" xr:uid="{4A3F15B8-D94E-4A03-863D-FFFEEBD3FEE4}"/>
    <cellStyle name="Normal 6 2 2 2 3 2 3" xfId="10171" xr:uid="{5D722A4A-4507-41AD-BA7A-ECFC905428D2}"/>
    <cellStyle name="Normal 6 2 2 2 3 2_By country" xfId="10172" xr:uid="{BC354243-A185-451C-B6D5-FFE287C17A21}"/>
    <cellStyle name="Normal 6 2 2 2 3 3" xfId="10173" xr:uid="{22687F38-9154-4A5B-905F-E00BA4808CAF}"/>
    <cellStyle name="Normal 6 2 2 2 3 3 2" xfId="10174" xr:uid="{86CF5C62-E2FA-4AC5-8BE3-6290C003B113}"/>
    <cellStyle name="Normal 6 2 2 2 3 3_By country" xfId="10175" xr:uid="{8DCA3F74-2435-43C9-8892-EAA45EDE7D34}"/>
    <cellStyle name="Normal 6 2 2 2 3 4" xfId="10176" xr:uid="{2AD02D77-44B0-40D6-BF40-C63ED3EABCCC}"/>
    <cellStyle name="Normal 6 2 2 2 3_By country" xfId="10177" xr:uid="{8313D0F4-B596-4658-B0A2-313714BB2F3D}"/>
    <cellStyle name="Normal 6 2 2 2 4" xfId="10178" xr:uid="{41496A66-9AE2-4E54-AFDC-80A7D874FE4D}"/>
    <cellStyle name="Normal 6 2 2 2 4 2" xfId="10179" xr:uid="{0902D7F1-5FAF-4A38-881A-CE3002A0B216}"/>
    <cellStyle name="Normal 6 2 2 2 4 2 2" xfId="10180" xr:uid="{5A2CC944-067F-43A5-A39A-130AA75C1410}"/>
    <cellStyle name="Normal 6 2 2 2 4 2_By country" xfId="10181" xr:uid="{AA649052-3FBC-43E8-99F2-DC3AE290882D}"/>
    <cellStyle name="Normal 6 2 2 2 4 3" xfId="10182" xr:uid="{3C179092-A491-4C20-A3EE-CBF45CB25F3F}"/>
    <cellStyle name="Normal 6 2 2 2 4_By country" xfId="10183" xr:uid="{ED0C7B30-7A6E-459F-84CA-5D3ADE842958}"/>
    <cellStyle name="Normal 6 2 2 2 5" xfId="10184" xr:uid="{3B3FBE92-D7E6-498A-805E-4AF042143A3E}"/>
    <cellStyle name="Normal 6 2 2 2 5 2" xfId="10185" xr:uid="{99BCBFBD-3691-478F-9B89-6DB2AD8B704E}"/>
    <cellStyle name="Normal 6 2 2 2 5_By country" xfId="10186" xr:uid="{3666D869-F5C3-43D8-BB68-B06A9D663797}"/>
    <cellStyle name="Normal 6 2 2 2 6" xfId="10187" xr:uid="{D904DCF8-5BF6-48B0-AEC9-2E86AF9DF3E0}"/>
    <cellStyle name="Normal 6 2 2 2_Adjusted bridges" xfId="11122" xr:uid="{0B622CBD-93C4-42D5-9D60-71EC7D03B83A}"/>
    <cellStyle name="Normal 6 2 2 3" xfId="4384" xr:uid="{00000000-0005-0000-0000-000085110000}"/>
    <cellStyle name="Normal 6 2 2 3 2" xfId="10188" xr:uid="{5F1ABDE1-C188-4835-BC7E-B2EBD5D023BD}"/>
    <cellStyle name="Normal 6 2 2 3 2 2" xfId="10189" xr:uid="{9FA5967E-DA3E-4015-8858-4C2A7584224B}"/>
    <cellStyle name="Normal 6 2 2 3 2 2 2" xfId="10190" xr:uid="{B1D78F13-ACCA-4610-9DDD-155C074F8DE6}"/>
    <cellStyle name="Normal 6 2 2 3 2 2 2 2" xfId="10191" xr:uid="{1AE18E0C-380C-4CFA-BA5D-A22D36366513}"/>
    <cellStyle name="Normal 6 2 2 3 2 2 2 2 2" xfId="10192" xr:uid="{4600E25B-8CC7-4C89-8A5B-597E63312F67}"/>
    <cellStyle name="Normal 6 2 2 3 2 2 2 2_By country" xfId="10193" xr:uid="{5FE1CF1F-969C-45A8-AFEE-85BBE7D28B2C}"/>
    <cellStyle name="Normal 6 2 2 3 2 2 2 3" xfId="10194" xr:uid="{7CF1B321-3D69-4C22-BCFA-AE1D2C681AE0}"/>
    <cellStyle name="Normal 6 2 2 3 2 2 2_By country" xfId="10195" xr:uid="{1CAAD1A1-FDDC-4CB9-B7DF-E55A83AD77F0}"/>
    <cellStyle name="Normal 6 2 2 3 2 2 3" xfId="10196" xr:uid="{6274702A-2135-4C52-AD71-9BCCB062BA5B}"/>
    <cellStyle name="Normal 6 2 2 3 2 2 3 2" xfId="10197" xr:uid="{D5846B04-D862-486C-84B6-C64567D2BC89}"/>
    <cellStyle name="Normal 6 2 2 3 2 2 3_By country" xfId="10198" xr:uid="{FCC99619-61BC-43AD-8CAF-7356FC1824A0}"/>
    <cellStyle name="Normal 6 2 2 3 2 2 4" xfId="10199" xr:uid="{48901DFE-ED4C-43DF-BB4D-360ABA699AF0}"/>
    <cellStyle name="Normal 6 2 2 3 2 2_By country" xfId="10200" xr:uid="{9D90911F-DA64-43EA-82E9-3F34E42AA2FF}"/>
    <cellStyle name="Normal 6 2 2 3 2 3" xfId="10201" xr:uid="{5BF5A4CB-E3C8-4DD1-AACF-26FD48AF11E7}"/>
    <cellStyle name="Normal 6 2 2 3 2 3 2" xfId="10202" xr:uid="{8C834187-754F-4FBB-9C00-D408EE161642}"/>
    <cellStyle name="Normal 6 2 2 3 2 3 2 2" xfId="10203" xr:uid="{46F71945-034A-4597-BFE1-064A19C159D3}"/>
    <cellStyle name="Normal 6 2 2 3 2 3 2_By country" xfId="10204" xr:uid="{7E8E341F-AF0F-4D6D-84D8-74E8E64F6728}"/>
    <cellStyle name="Normal 6 2 2 3 2 3 3" xfId="10205" xr:uid="{D3F84D4D-E8F4-493B-8D5E-ED2356A05C6A}"/>
    <cellStyle name="Normal 6 2 2 3 2 3_By country" xfId="10206" xr:uid="{60A21BBB-26AB-4F4A-9ECD-7B9F51699333}"/>
    <cellStyle name="Normal 6 2 2 3 2 4" xfId="10207" xr:uid="{3EA98B66-6D2A-433A-8117-335E01992286}"/>
    <cellStyle name="Normal 6 2 2 3 2 4 2" xfId="10208" xr:uid="{A56BADC7-7D1A-4207-8337-DEE20155BB3C}"/>
    <cellStyle name="Normal 6 2 2 3 2 4_By country" xfId="10209" xr:uid="{BF197CB1-490A-4E4A-A48D-9B0E9C53F808}"/>
    <cellStyle name="Normal 6 2 2 3 2 5" xfId="10210" xr:uid="{943F2CC4-F19D-4737-8909-BEA8EA0708BD}"/>
    <cellStyle name="Normal 6 2 2 3 2_By country" xfId="10211" xr:uid="{DBA3C9AD-C8FF-4DA9-BA62-6BC446156C1F}"/>
    <cellStyle name="Normal 6 2 2 3 3" xfId="10212" xr:uid="{A5F3EDFE-A9FF-44A8-BC4A-365DAB622F23}"/>
    <cellStyle name="Normal 6 2 2 3 3 2" xfId="10213" xr:uid="{E8EB02ED-9C41-4B66-8ED6-F67A0CBB8E82}"/>
    <cellStyle name="Normal 6 2 2 3 3 2 2" xfId="10214" xr:uid="{CF4334CC-FB22-4EC3-8750-FC232F5DAAE1}"/>
    <cellStyle name="Normal 6 2 2 3 3 2 2 2" xfId="10215" xr:uid="{CC7D2BE1-54D0-4CA6-9078-74D278426B2C}"/>
    <cellStyle name="Normal 6 2 2 3 3 2 2_By country" xfId="10216" xr:uid="{511DF130-A365-43C4-B824-2740959A3D42}"/>
    <cellStyle name="Normal 6 2 2 3 3 2 3" xfId="10217" xr:uid="{32AD3B84-2E5A-4F34-B198-43C8D23872F9}"/>
    <cellStyle name="Normal 6 2 2 3 3 2_By country" xfId="10218" xr:uid="{FBA4E526-F274-491B-99BD-19A288967E4F}"/>
    <cellStyle name="Normal 6 2 2 3 3 3" xfId="10219" xr:uid="{B04151BA-F079-4C9F-B1DD-D11DA02CA364}"/>
    <cellStyle name="Normal 6 2 2 3 3 3 2" xfId="10220" xr:uid="{1B3241B8-5A14-425A-B059-7DCE53426287}"/>
    <cellStyle name="Normal 6 2 2 3 3 3_By country" xfId="10221" xr:uid="{165770B5-628C-4C48-AAED-154283F2E306}"/>
    <cellStyle name="Normal 6 2 2 3 3 4" xfId="10222" xr:uid="{FB1697C7-B618-4E26-A8D0-2D19D21BBC3F}"/>
    <cellStyle name="Normal 6 2 2 3 3_By country" xfId="10223" xr:uid="{6AE55088-7088-44B8-A874-6B67B6E284CC}"/>
    <cellStyle name="Normal 6 2 2 3 4" xfId="10224" xr:uid="{25D6212E-0639-438F-B3F4-0E1A33C1BFE1}"/>
    <cellStyle name="Normal 6 2 2 3 4 2" xfId="10225" xr:uid="{1F41BC5D-FC92-4446-A398-CDED806302D4}"/>
    <cellStyle name="Normal 6 2 2 3 4 2 2" xfId="10226" xr:uid="{8379238F-B7E0-4BF9-B095-613F922815CB}"/>
    <cellStyle name="Normal 6 2 2 3 4 2_By country" xfId="10227" xr:uid="{A66B5512-FDBE-4121-B273-B8BB78691ABA}"/>
    <cellStyle name="Normal 6 2 2 3 4 3" xfId="10228" xr:uid="{4B475580-1919-415C-A350-0C03D03E7F27}"/>
    <cellStyle name="Normal 6 2 2 3 4_By country" xfId="10229" xr:uid="{CC454D7C-DC8F-42BE-A651-1B5E75C94EA5}"/>
    <cellStyle name="Normal 6 2 2 3 5" xfId="10230" xr:uid="{F92AF9DF-EEB7-429A-9657-671EC2316C53}"/>
    <cellStyle name="Normal 6 2 2 3 5 2" xfId="10231" xr:uid="{FBED3239-7762-4FDE-A4DD-5EDE599D5052}"/>
    <cellStyle name="Normal 6 2 2 3 5_By country" xfId="10232" xr:uid="{3A955B28-DF42-4A51-9E39-BCF1AB5F5DFB}"/>
    <cellStyle name="Normal 6 2 2 3 6" xfId="10233" xr:uid="{1A0F0F72-DE10-4157-BE94-2028C17A3655}"/>
    <cellStyle name="Normal 6 2 2 3_Adjusted bridges" xfId="11123" xr:uid="{078CB953-8BBF-4510-B533-1EC649692969}"/>
    <cellStyle name="Normal 6 2 2 4" xfId="4385" xr:uid="{00000000-0005-0000-0000-000086110000}"/>
    <cellStyle name="Normal 6 2 2 4 2" xfId="10234" xr:uid="{C6FC0EA0-3375-4F90-8F8D-D98347468D58}"/>
    <cellStyle name="Normal 6 2 2 4 2 2" xfId="10235" xr:uid="{A8A15BCE-0E44-47DA-B860-301172E28ABD}"/>
    <cellStyle name="Normal 6 2 2 4 2 2 2" xfId="10236" xr:uid="{95EB138F-C2CC-4541-8D66-464F32A646F4}"/>
    <cellStyle name="Normal 6 2 2 4 2 2 2 2" xfId="10237" xr:uid="{89D712D8-28B9-48C5-B7C8-45B374AD7CA9}"/>
    <cellStyle name="Normal 6 2 2 4 2 2 2_By country" xfId="10238" xr:uid="{C731B190-4CED-490D-AF57-A8DBB0DC8A9E}"/>
    <cellStyle name="Normal 6 2 2 4 2 2 3" xfId="10239" xr:uid="{A2D3C69F-10EE-4165-8004-F9204ADA3842}"/>
    <cellStyle name="Normal 6 2 2 4 2 2_By country" xfId="10240" xr:uid="{5812D2F0-36F3-48EC-B5A6-F505E3408E4D}"/>
    <cellStyle name="Normal 6 2 2 4 2 3" xfId="10241" xr:uid="{EAE6F8A3-25F2-4C7D-9B05-EF6187310573}"/>
    <cellStyle name="Normal 6 2 2 4 2 3 2" xfId="10242" xr:uid="{F7E8311A-523D-48F5-99C1-73202079A0E7}"/>
    <cellStyle name="Normal 6 2 2 4 2 3_By country" xfId="10243" xr:uid="{236041E1-8246-422B-8B29-85643B031C0C}"/>
    <cellStyle name="Normal 6 2 2 4 2 4" xfId="10244" xr:uid="{BC0EB11B-B022-4A22-BAA8-FCB5960AA928}"/>
    <cellStyle name="Normal 6 2 2 4 2_By country" xfId="10245" xr:uid="{CA07121B-1CF0-45B2-B242-32F7D67CB2C8}"/>
    <cellStyle name="Normal 6 2 2 4 3" xfId="10246" xr:uid="{3DA80354-6812-4334-8CE0-84F71F0B5A2D}"/>
    <cellStyle name="Normal 6 2 2 4 3 2" xfId="10247" xr:uid="{4FCD0BA8-EA63-420F-9BEA-005D00669CA6}"/>
    <cellStyle name="Normal 6 2 2 4 3 2 2" xfId="10248" xr:uid="{62FC96FA-5649-4C1B-8907-B46D4262D153}"/>
    <cellStyle name="Normal 6 2 2 4 3 2_By country" xfId="10249" xr:uid="{6CB756F8-DAEC-4FB4-BC4A-2BEDCC0E8E14}"/>
    <cellStyle name="Normal 6 2 2 4 3 3" xfId="10250" xr:uid="{497AB610-7FA1-4743-A14E-6AB3D9017840}"/>
    <cellStyle name="Normal 6 2 2 4 3_By country" xfId="10251" xr:uid="{812729C4-4E91-47FB-BB2F-F940D52B9F2D}"/>
    <cellStyle name="Normal 6 2 2 4 4" xfId="10252" xr:uid="{2B7AC1F6-2DB3-4B40-AFA3-923409A57935}"/>
    <cellStyle name="Normal 6 2 2 4 4 2" xfId="10253" xr:uid="{D0782725-F7DB-45E2-B399-D6A8531CAB60}"/>
    <cellStyle name="Normal 6 2 2 4 4_By country" xfId="10254" xr:uid="{BF44CC37-E464-46C3-A8AA-968B40F5CC2F}"/>
    <cellStyle name="Normal 6 2 2 4 5" xfId="10255" xr:uid="{08DD7776-F22A-4D12-9D35-1F9E96EA00ED}"/>
    <cellStyle name="Normal 6 2 2 4_Adjusted bridges" xfId="11124" xr:uid="{78654CC4-DD65-462A-A2F3-773C51FD814C}"/>
    <cellStyle name="Normal 6 2 2 5" xfId="4386" xr:uid="{00000000-0005-0000-0000-000087110000}"/>
    <cellStyle name="Normal 6 2 2 5 2" xfId="10256" xr:uid="{CD361593-669A-469E-B595-A1656D7A1CDB}"/>
    <cellStyle name="Normal 6 2 2 5 2 2" xfId="10257" xr:uid="{65F7EC6B-F463-40D8-8243-5E83C184AACD}"/>
    <cellStyle name="Normal 6 2 2 5 2 2 2" xfId="10258" xr:uid="{47E3DBAC-6C83-47D9-9CCD-3819DC9197AF}"/>
    <cellStyle name="Normal 6 2 2 5 2 2_By country" xfId="10259" xr:uid="{E727CAAA-7718-4AE1-9A0A-4D36F9781B67}"/>
    <cellStyle name="Normal 6 2 2 5 2 3" xfId="10260" xr:uid="{D3CC1013-82AB-43D5-885C-41381755EF47}"/>
    <cellStyle name="Normal 6 2 2 5 2_By country" xfId="10261" xr:uid="{E89B91B3-3279-496A-945F-6A7B1575DA86}"/>
    <cellStyle name="Normal 6 2 2 5 3" xfId="10262" xr:uid="{DCE7B7E0-A9BF-460F-965E-F5DEDECAC1ED}"/>
    <cellStyle name="Normal 6 2 2 5 3 2" xfId="10263" xr:uid="{F705580E-5BCE-47D1-9121-42B09BACA9AA}"/>
    <cellStyle name="Normal 6 2 2 5 3_By country" xfId="10264" xr:uid="{54620198-0512-4EE1-A292-0ACDAFDB7A0A}"/>
    <cellStyle name="Normal 6 2 2 5 4" xfId="10265" xr:uid="{020D9CCD-928D-4991-9916-D0C3EF57323E}"/>
    <cellStyle name="Normal 6 2 2 5_Adjusted bridges" xfId="11125" xr:uid="{0E7A3DCC-35A2-40F4-8D5B-533B930E8AF6}"/>
    <cellStyle name="Normal 6 2 2 6" xfId="10266" xr:uid="{DA62A1F1-7D32-43AB-A44A-83892CEB38A5}"/>
    <cellStyle name="Normal 6 2 2 6 2" xfId="10267" xr:uid="{1C58A1B5-2233-48C5-9A28-966BE8AAFF23}"/>
    <cellStyle name="Normal 6 2 2 6 2 2" xfId="10268" xr:uid="{99A9312C-EF10-48AD-A69E-4B22D24465B0}"/>
    <cellStyle name="Normal 6 2 2 6 2_By country" xfId="10269" xr:uid="{638558B0-7669-4CA7-BE02-023F2B9ED481}"/>
    <cellStyle name="Normal 6 2 2 6 3" xfId="10270" xr:uid="{458FE9F7-09E7-4D08-B299-15E6D83D9290}"/>
    <cellStyle name="Normal 6 2 2 6_By country" xfId="10271" xr:uid="{C553EB2E-FC1F-452E-A455-69C17800980F}"/>
    <cellStyle name="Normal 6 2 2 7" xfId="10272" xr:uid="{F4C3AE47-4DCC-44A3-8E93-C95A012C76AD}"/>
    <cellStyle name="Normal 6 2 2 7 2" xfId="10273" xr:uid="{6E416A88-A50E-4C70-9F2E-A98C8D1FDB45}"/>
    <cellStyle name="Normal 6 2 2 7_By country" xfId="10274" xr:uid="{33897935-48E4-46A6-96DF-101E4D159802}"/>
    <cellStyle name="Normal 6 2 2 8" xfId="10275" xr:uid="{1BE870E7-3F39-4106-B7F7-0B9C492E93AC}"/>
    <cellStyle name="Normal 6 2 2_1 KeyFig" xfId="4387" xr:uid="{00000000-0005-0000-0000-000088110000}"/>
    <cellStyle name="Normal 6 2 3" xfId="4388" xr:uid="{00000000-0005-0000-0000-000089110000}"/>
    <cellStyle name="Normal 6 2 4" xfId="4389" xr:uid="{00000000-0005-0000-0000-00008A110000}"/>
    <cellStyle name="Normal 6 2 4 2" xfId="10276" xr:uid="{002E4935-49B5-44B6-97D8-FAF58A6342C7}"/>
    <cellStyle name="Normal 6 2 4 2 2" xfId="10277" xr:uid="{107D0026-A2A6-42FE-9AC9-AB3536F3DB3D}"/>
    <cellStyle name="Normal 6 2 4 2 2 2" xfId="10278" xr:uid="{D5FC8964-B5D7-4555-9FFB-7FE918315E81}"/>
    <cellStyle name="Normal 6 2 4 2 2 2 2" xfId="10279" xr:uid="{93AC76A3-2F5B-4AA5-9B58-8FAA8A552326}"/>
    <cellStyle name="Normal 6 2 4 2 2 2 2 2" xfId="10280" xr:uid="{EE893834-BC8E-426C-8E17-DF59BD287DCB}"/>
    <cellStyle name="Normal 6 2 4 2 2 2 2_By country" xfId="10281" xr:uid="{FE91ED7F-8574-4475-9EF9-4529D086883B}"/>
    <cellStyle name="Normal 6 2 4 2 2 2 3" xfId="10282" xr:uid="{C07A475A-4708-4843-BD9B-9357825F9A5C}"/>
    <cellStyle name="Normal 6 2 4 2 2 2_By country" xfId="10283" xr:uid="{B0592914-B1F0-4B3D-8F4B-6322D18C9152}"/>
    <cellStyle name="Normal 6 2 4 2 2 3" xfId="10284" xr:uid="{2C01EC9C-BC1A-41BE-BE41-5DCDD9BD3C06}"/>
    <cellStyle name="Normal 6 2 4 2 2 3 2" xfId="10285" xr:uid="{5EA755AE-CC91-4ADC-A5AA-F0F5CA67952E}"/>
    <cellStyle name="Normal 6 2 4 2 2 3_By country" xfId="10286" xr:uid="{03A4B0B4-BE66-4509-BD19-E552CA31C5AA}"/>
    <cellStyle name="Normal 6 2 4 2 2 4" xfId="10287" xr:uid="{D6C093A5-73BA-4CFA-B6A4-FEFB0295A07D}"/>
    <cellStyle name="Normal 6 2 4 2 2_By country" xfId="10288" xr:uid="{67B1214D-DC41-48DB-B7A6-EF157F4462B1}"/>
    <cellStyle name="Normal 6 2 4 2 3" xfId="10289" xr:uid="{E166520C-E9BF-4F17-A5F3-188520927D8F}"/>
    <cellStyle name="Normal 6 2 4 2 3 2" xfId="10290" xr:uid="{25AC72A3-5108-4ABB-8745-0B708AC3DE56}"/>
    <cellStyle name="Normal 6 2 4 2 3 2 2" xfId="10291" xr:uid="{7DBDEF84-8D42-4242-9705-47D4A6868C3A}"/>
    <cellStyle name="Normal 6 2 4 2 3 2_By country" xfId="10292" xr:uid="{091EB92E-D5EA-4536-B66D-8FCAE105D025}"/>
    <cellStyle name="Normal 6 2 4 2 3 3" xfId="10293" xr:uid="{CD6E5AA0-C0D0-47B8-99E3-21F93502493B}"/>
    <cellStyle name="Normal 6 2 4 2 3_By country" xfId="10294" xr:uid="{044AA16C-87BE-427B-824B-391842347724}"/>
    <cellStyle name="Normal 6 2 4 2 4" xfId="10295" xr:uid="{DBDDB74D-E492-4791-969F-E456E4814608}"/>
    <cellStyle name="Normal 6 2 4 2 4 2" xfId="10296" xr:uid="{BC9ED7E9-4148-4E5C-AB81-4905DD26E962}"/>
    <cellStyle name="Normal 6 2 4 2 4_By country" xfId="10297" xr:uid="{3283DDF6-EAAA-40E3-922B-FB1F541703F5}"/>
    <cellStyle name="Normal 6 2 4 2 5" xfId="10298" xr:uid="{51FDB2E8-7634-4E4B-A670-4E2F6324CB9F}"/>
    <cellStyle name="Normal 6 2 4 2_By country" xfId="10299" xr:uid="{DE9581A4-BEB0-4C16-99FB-468B014394A4}"/>
    <cellStyle name="Normal 6 2 4 3" xfId="10300" xr:uid="{AFCFE073-2ACD-4ACE-B2EB-C14C9E1DBFB0}"/>
    <cellStyle name="Normal 6 2 4 3 2" xfId="10301" xr:uid="{7424EE73-EF5E-4D61-AACB-FB9D6D66A60A}"/>
    <cellStyle name="Normal 6 2 4 3 2 2" xfId="10302" xr:uid="{E8DDE1C2-38D0-439A-8965-3A996C883604}"/>
    <cellStyle name="Normal 6 2 4 3 2 2 2" xfId="10303" xr:uid="{0A4FCE98-76EE-473E-BEB7-5CB9E53CFCED}"/>
    <cellStyle name="Normal 6 2 4 3 2 2_By country" xfId="10304" xr:uid="{8151E87B-0C7E-462B-8090-E9087562E1FD}"/>
    <cellStyle name="Normal 6 2 4 3 2 3" xfId="10305" xr:uid="{B79B0837-8C64-4D92-8A2A-57F540788739}"/>
    <cellStyle name="Normal 6 2 4 3 2_By country" xfId="10306" xr:uid="{E481DEBA-B9B0-4524-84DD-FEEE7EBCCFC2}"/>
    <cellStyle name="Normal 6 2 4 3 3" xfId="10307" xr:uid="{1F32F44D-F8A7-4C42-BEE6-77C21C9F8B1B}"/>
    <cellStyle name="Normal 6 2 4 3 3 2" xfId="10308" xr:uid="{15F9D1BA-0AB6-4A75-92D1-238942CE1064}"/>
    <cellStyle name="Normal 6 2 4 3 3_By country" xfId="10309" xr:uid="{567F12F1-3A9D-45A1-8B65-E6DD8955F56D}"/>
    <cellStyle name="Normal 6 2 4 3 4" xfId="10310" xr:uid="{0C964BA9-6D34-4C3C-987C-DB33A9B0A058}"/>
    <cellStyle name="Normal 6 2 4 3_By country" xfId="10311" xr:uid="{F897F3CF-9845-4872-9547-15D83F110C5B}"/>
    <cellStyle name="Normal 6 2 4 4" xfId="10312" xr:uid="{5793C417-F99F-4900-A146-1A4A7B44E031}"/>
    <cellStyle name="Normal 6 2 4 4 2" xfId="10313" xr:uid="{E65C8ADE-2145-49A5-AFB5-A85ACF5A41BE}"/>
    <cellStyle name="Normal 6 2 4 4 2 2" xfId="10314" xr:uid="{4379CED1-D56E-4F8D-851F-E64C400B4B66}"/>
    <cellStyle name="Normal 6 2 4 4 2_By country" xfId="10315" xr:uid="{1FB95FB6-D6DC-4F79-A631-C9922B26C7DB}"/>
    <cellStyle name="Normal 6 2 4 4 3" xfId="10316" xr:uid="{68CE5DD8-E22D-4377-AFAC-7CB22CA5ECB0}"/>
    <cellStyle name="Normal 6 2 4 4_By country" xfId="10317" xr:uid="{5A064E0A-67FB-4A1B-BB36-EB3D9D4859FA}"/>
    <cellStyle name="Normal 6 2 4 5" xfId="10318" xr:uid="{17644DF2-FA46-48C8-AAD5-21C5B4BF9ED4}"/>
    <cellStyle name="Normal 6 2 4 5 2" xfId="10319" xr:uid="{375BD834-615A-4A4B-B010-793E445153AD}"/>
    <cellStyle name="Normal 6 2 4 5_By country" xfId="10320" xr:uid="{A58E3427-5415-4106-A8C5-52DA2E98BE8E}"/>
    <cellStyle name="Normal 6 2 4 6" xfId="10321" xr:uid="{B957DE53-D9C0-405F-9AD8-3A8B0BCD796C}"/>
    <cellStyle name="Normal 6 2 4_Adjusted bridges" xfId="11126" xr:uid="{AF29C48C-2846-43D1-A864-391763284785}"/>
    <cellStyle name="Normal 6 2 5" xfId="4390" xr:uid="{00000000-0005-0000-0000-00008B110000}"/>
    <cellStyle name="Normal 6 2 6" xfId="4391" xr:uid="{00000000-0005-0000-0000-00008C110000}"/>
    <cellStyle name="Normal 6 2_1 KeyFig" xfId="4392" xr:uid="{00000000-0005-0000-0000-00008D110000}"/>
    <cellStyle name="Normal 6 3" xfId="4393" xr:uid="{00000000-0005-0000-0000-00008E110000}"/>
    <cellStyle name="Normal 6 3 2" xfId="10322" xr:uid="{08DD4748-9672-4893-87BC-85CC7B4CBBD4}"/>
    <cellStyle name="Normal 6 3 2 2" xfId="10323" xr:uid="{D6F1B770-CF51-404D-B3B8-C7D20671BC49}"/>
    <cellStyle name="Normal 6 3 2 2 2" xfId="10324" xr:uid="{300DD82F-480B-472B-A595-03425C16DB45}"/>
    <cellStyle name="Normal 6 3 2 2 2 2" xfId="10325" xr:uid="{27B9B46C-3662-459A-9C13-713538D0B6CD}"/>
    <cellStyle name="Normal 6 3 2 2 2 2 2" xfId="10326" xr:uid="{7A7A3248-A5BB-48B6-B389-E613A6EFC2CE}"/>
    <cellStyle name="Normal 6 3 2 2 2 2 2 2" xfId="10327" xr:uid="{1EB89DCC-7961-428C-97B7-B0F2B1BDDD18}"/>
    <cellStyle name="Normal 6 3 2 2 2 2 2_By country" xfId="10328" xr:uid="{297D7099-9F59-4D52-877D-9710889CB0F5}"/>
    <cellStyle name="Normal 6 3 2 2 2 2 3" xfId="10329" xr:uid="{5FF5432B-2AA1-49D6-98E7-150311401CB5}"/>
    <cellStyle name="Normal 6 3 2 2 2 2_By country" xfId="10330" xr:uid="{3E6B1A99-F34D-4D13-93DD-4AA0801AB7B2}"/>
    <cellStyle name="Normal 6 3 2 2 2 3" xfId="10331" xr:uid="{96170BC7-E85F-481D-9054-2A6727B12210}"/>
    <cellStyle name="Normal 6 3 2 2 2 3 2" xfId="10332" xr:uid="{B3A86CDE-01F0-4B8E-81AA-EE6508CFA24D}"/>
    <cellStyle name="Normal 6 3 2 2 2 3_By country" xfId="10333" xr:uid="{72ACCBBB-B889-452F-AE2B-29D1E1E03A0C}"/>
    <cellStyle name="Normal 6 3 2 2 2 4" xfId="10334" xr:uid="{02DE3C5C-13EA-4307-943D-0CA648F8C160}"/>
    <cellStyle name="Normal 6 3 2 2 2_By country" xfId="10335" xr:uid="{B1C48EAD-FC8A-4313-BDAB-C2EE4319A7AD}"/>
    <cellStyle name="Normal 6 3 2 2 3" xfId="10336" xr:uid="{4E8CF60A-F965-48E0-AD9E-CB8F4A5C3742}"/>
    <cellStyle name="Normal 6 3 2 2 3 2" xfId="10337" xr:uid="{7601A738-40AC-4DA3-9BC7-46001D1E9361}"/>
    <cellStyle name="Normal 6 3 2 2 3 2 2" xfId="10338" xr:uid="{78699F8C-FF2F-4C52-B77C-3965AB55A411}"/>
    <cellStyle name="Normal 6 3 2 2 3 2_By country" xfId="10339" xr:uid="{33FD6A7B-AD4B-4CFE-AA13-EFB684508C6E}"/>
    <cellStyle name="Normal 6 3 2 2 3 3" xfId="10340" xr:uid="{D38DA5C2-3067-47EA-BF7C-F8E38314A2BE}"/>
    <cellStyle name="Normal 6 3 2 2 3_By country" xfId="10341" xr:uid="{62D48E5C-2F9F-4CBB-9089-331CE19B80A1}"/>
    <cellStyle name="Normal 6 3 2 2 4" xfId="10342" xr:uid="{781BBD0D-6FEE-422C-A276-7B8931013F18}"/>
    <cellStyle name="Normal 6 3 2 2 4 2" xfId="10343" xr:uid="{07590E2D-E752-40F9-BC2B-ED03883AA393}"/>
    <cellStyle name="Normal 6 3 2 2 4_By country" xfId="10344" xr:uid="{97F4706E-5D4B-416D-9B02-7A04CE417D85}"/>
    <cellStyle name="Normal 6 3 2 2 5" xfId="10345" xr:uid="{AACA44AD-5B85-4743-8EE7-59506505513A}"/>
    <cellStyle name="Normal 6 3 2 2_By country" xfId="10346" xr:uid="{8758DA53-47EE-41D5-969D-7484783A887D}"/>
    <cellStyle name="Normal 6 3 2 3" xfId="10347" xr:uid="{84E69E4D-B42C-4F20-A330-C7A5693D2ACE}"/>
    <cellStyle name="Normal 6 3 2 3 2" xfId="10348" xr:uid="{C034541D-29AC-43C7-9714-9A2BFAC7AB42}"/>
    <cellStyle name="Normal 6 3 2 3 2 2" xfId="10349" xr:uid="{45DAE2C8-570A-4508-A2C6-8A2EBF9E82CA}"/>
    <cellStyle name="Normal 6 3 2 3 2 2 2" xfId="10350" xr:uid="{B22333A3-FFD2-49B8-843A-8E277538E137}"/>
    <cellStyle name="Normal 6 3 2 3 2 2_By country" xfId="10351" xr:uid="{E2446511-80E6-40F9-A9D4-6D54AFF6C6CA}"/>
    <cellStyle name="Normal 6 3 2 3 2 3" xfId="10352" xr:uid="{7B5D5532-C8C9-4C20-B955-51BD37454950}"/>
    <cellStyle name="Normal 6 3 2 3 2_By country" xfId="10353" xr:uid="{E71B5BFD-896E-4D6F-9A94-6C1192067500}"/>
    <cellStyle name="Normal 6 3 2 3 3" xfId="10354" xr:uid="{9675BA5F-9632-4EDE-BB23-22CF064F9B72}"/>
    <cellStyle name="Normal 6 3 2 3 3 2" xfId="10355" xr:uid="{9666EFF8-49BD-4F09-B67B-24078ABC1600}"/>
    <cellStyle name="Normal 6 3 2 3 3_By country" xfId="10356" xr:uid="{99FEE887-624C-4E7B-B57E-F2904DD8239B}"/>
    <cellStyle name="Normal 6 3 2 3 4" xfId="10357" xr:uid="{12C6F76F-9850-4160-B9D1-506939D19D8C}"/>
    <cellStyle name="Normal 6 3 2 3_By country" xfId="10358" xr:uid="{E9CBB6E7-CF94-4AF1-BAC4-AD6D5088D056}"/>
    <cellStyle name="Normal 6 3 2 4" xfId="10359" xr:uid="{4C9BE0C8-EF10-4651-ABB5-064909B31B1A}"/>
    <cellStyle name="Normal 6 3 2 4 2" xfId="10360" xr:uid="{893B35D0-4869-42F9-A191-2F448C77F57A}"/>
    <cellStyle name="Normal 6 3 2 4 2 2" xfId="10361" xr:uid="{13E10C87-5CB2-4E74-B5E9-0D7C8CD003A3}"/>
    <cellStyle name="Normal 6 3 2 4 2_By country" xfId="10362" xr:uid="{53487012-037C-47B2-A83A-49D9CAB962C2}"/>
    <cellStyle name="Normal 6 3 2 4 3" xfId="10363" xr:uid="{A33A3099-2366-41E3-A1A1-EF2B3D614445}"/>
    <cellStyle name="Normal 6 3 2 4_By country" xfId="10364" xr:uid="{C3637A9D-8483-4948-AD29-88B855BEA350}"/>
    <cellStyle name="Normal 6 3 2 5" xfId="10365" xr:uid="{DD549E52-225D-4EDF-9EBB-84E18A3A6862}"/>
    <cellStyle name="Normal 6 3 2 5 2" xfId="10366" xr:uid="{2DB2EFEB-8007-425E-8CD7-FC8CC99A0436}"/>
    <cellStyle name="Normal 6 3 2 5_By country" xfId="10367" xr:uid="{0E221DEB-2DCA-44C3-BCC8-CC316A0CFC74}"/>
    <cellStyle name="Normal 6 3 2 6" xfId="10368" xr:uid="{8CE79C15-DF37-4E34-9819-9B1FFADA1FF1}"/>
    <cellStyle name="Normal 6 3 2_By country" xfId="10369" xr:uid="{88133BCF-249C-4CA3-AC2A-983C3660BBCB}"/>
    <cellStyle name="Normal 6 3 3" xfId="10370" xr:uid="{ABC59D32-6462-4FFE-A55C-8F6D2DDC026D}"/>
    <cellStyle name="Normal 6 3 3 2" xfId="10371" xr:uid="{6A545EBC-4C0C-4154-8117-FE0B93C21DEA}"/>
    <cellStyle name="Normal 6 3 3 2 2" xfId="10372" xr:uid="{38DDC074-AACF-4A85-A481-B2A72AFFB866}"/>
    <cellStyle name="Normal 6 3 3 2 2 2" xfId="10373" xr:uid="{D47C358E-66D7-4C77-B8CF-B3F9AC79F7BF}"/>
    <cellStyle name="Normal 6 3 3 2 2 2 2" xfId="10374" xr:uid="{D8C60340-7394-4508-9780-4AD8DF5E96DB}"/>
    <cellStyle name="Normal 6 3 3 2 2 2 2 2" xfId="10375" xr:uid="{A8375B53-1DBA-42EF-88CD-DAC24ADC24C3}"/>
    <cellStyle name="Normal 6 3 3 2 2 2 2_By country" xfId="10376" xr:uid="{B7681213-2BCD-4418-89D7-99CAD265999B}"/>
    <cellStyle name="Normal 6 3 3 2 2 2 3" xfId="10377" xr:uid="{5406E601-7C9A-49B2-8B4A-08803C2E6109}"/>
    <cellStyle name="Normal 6 3 3 2 2 2_By country" xfId="10378" xr:uid="{8E2DE3CF-3D0A-40F5-B287-08E74E65319C}"/>
    <cellStyle name="Normal 6 3 3 2 2 3" xfId="10379" xr:uid="{D19CCAF0-E775-4C61-8AB8-16E4870DC8A3}"/>
    <cellStyle name="Normal 6 3 3 2 2 3 2" xfId="10380" xr:uid="{F94C3E3D-D210-4E2F-B04D-918FD69B6932}"/>
    <cellStyle name="Normal 6 3 3 2 2 3_By country" xfId="10381" xr:uid="{A272A884-ECEA-491F-B74B-589607CBEE48}"/>
    <cellStyle name="Normal 6 3 3 2 2 4" xfId="10382" xr:uid="{28E9CCE5-B4CA-46BB-BEBE-5481C16514F6}"/>
    <cellStyle name="Normal 6 3 3 2 2_By country" xfId="10383" xr:uid="{533A862C-BF7D-4F15-979A-790DFFB0CD2D}"/>
    <cellStyle name="Normal 6 3 3 2 3" xfId="10384" xr:uid="{8E8A3E24-2313-4249-AE04-007F27FB9C1F}"/>
    <cellStyle name="Normal 6 3 3 2 3 2" xfId="10385" xr:uid="{75A3E1E5-2CB8-4211-BD06-2913FC35EA79}"/>
    <cellStyle name="Normal 6 3 3 2 3 2 2" xfId="10386" xr:uid="{3E84CC81-E888-44A1-8308-91E010EF9E3E}"/>
    <cellStyle name="Normal 6 3 3 2 3 2_By country" xfId="10387" xr:uid="{A3184BE1-BD27-443E-8320-B132A145841E}"/>
    <cellStyle name="Normal 6 3 3 2 3 3" xfId="10388" xr:uid="{586BBF06-E7DE-417D-8FCA-3BEE0BED1845}"/>
    <cellStyle name="Normal 6 3 3 2 3_By country" xfId="10389" xr:uid="{08F2D556-941A-4DE3-9583-6BC05C150940}"/>
    <cellStyle name="Normal 6 3 3 2 4" xfId="10390" xr:uid="{6AED611C-1DAC-4383-A716-6EF16A3E5E42}"/>
    <cellStyle name="Normal 6 3 3 2 4 2" xfId="10391" xr:uid="{AD4234FB-446C-405C-89A8-4AF20C15F922}"/>
    <cellStyle name="Normal 6 3 3 2 4_By country" xfId="10392" xr:uid="{884651A9-90B3-4A95-A3BD-F5120F3C44CB}"/>
    <cellStyle name="Normal 6 3 3 2 5" xfId="10393" xr:uid="{540CACFA-7BC2-482F-A0FB-A6C36418CFB8}"/>
    <cellStyle name="Normal 6 3 3 2_By country" xfId="10394" xr:uid="{44B4FA39-05AD-47F9-AC81-54736EA46AEE}"/>
    <cellStyle name="Normal 6 3 3 3" xfId="10395" xr:uid="{E8B4C5E7-4120-4E5C-A625-A546423197AF}"/>
    <cellStyle name="Normal 6 3 3 3 2" xfId="10396" xr:uid="{E822EB12-77C5-4553-B679-956D1313C22B}"/>
    <cellStyle name="Normal 6 3 3 3 2 2" xfId="10397" xr:uid="{A1BDF0D5-17C5-48CD-A5C2-CA75382DD546}"/>
    <cellStyle name="Normal 6 3 3 3 2 2 2" xfId="10398" xr:uid="{BE4837C8-F99C-4FFA-8914-B87C4C7DABA1}"/>
    <cellStyle name="Normal 6 3 3 3 2 2_By country" xfId="10399" xr:uid="{B99092D3-2B1A-4756-8AEF-5AF5ACBBFFAE}"/>
    <cellStyle name="Normal 6 3 3 3 2 3" xfId="10400" xr:uid="{2C25E6C7-9BAD-437F-9287-700EE5CC6438}"/>
    <cellStyle name="Normal 6 3 3 3 2_By country" xfId="10401" xr:uid="{14B56AE0-0627-4BAA-A23A-9565DAB37202}"/>
    <cellStyle name="Normal 6 3 3 3 3" xfId="10402" xr:uid="{47832A8C-7B67-4040-BDA1-D39257D7C17C}"/>
    <cellStyle name="Normal 6 3 3 3 3 2" xfId="10403" xr:uid="{8ACF406F-47A6-4C6E-BFE3-EC289D473315}"/>
    <cellStyle name="Normal 6 3 3 3 3_By country" xfId="10404" xr:uid="{849B5ACC-BC55-4156-8E20-1E4C4D97DE51}"/>
    <cellStyle name="Normal 6 3 3 3 4" xfId="10405" xr:uid="{D5AB269D-F806-45A7-877D-682545B143DD}"/>
    <cellStyle name="Normal 6 3 3 3_By country" xfId="10406" xr:uid="{82C06472-AB84-41DA-B8CD-70F1725A8995}"/>
    <cellStyle name="Normal 6 3 3 4" xfId="10407" xr:uid="{8B5F5F12-2791-451E-8AD0-07407C8464A1}"/>
    <cellStyle name="Normal 6 3 3 4 2" xfId="10408" xr:uid="{E4D184EB-73F1-4713-A5DE-640B7B7BD454}"/>
    <cellStyle name="Normal 6 3 3 4 2 2" xfId="10409" xr:uid="{D891A63B-FE0B-438D-922E-F329707A19D6}"/>
    <cellStyle name="Normal 6 3 3 4 2_By country" xfId="10410" xr:uid="{B3F441B8-B0A1-48E9-B65D-A76B14B97E2E}"/>
    <cellStyle name="Normal 6 3 3 4 3" xfId="10411" xr:uid="{8AC9C229-EF12-42F3-9108-858EA6827ED1}"/>
    <cellStyle name="Normal 6 3 3 4_By country" xfId="10412" xr:uid="{E2EDB702-30B7-457F-977A-3487E421B45D}"/>
    <cellStyle name="Normal 6 3 3 5" xfId="10413" xr:uid="{37B732B4-1AC7-4CD9-98FC-FD4EA1579ECA}"/>
    <cellStyle name="Normal 6 3 3 5 2" xfId="10414" xr:uid="{F1F1E2A4-4188-4604-9972-1EDF192E57F0}"/>
    <cellStyle name="Normal 6 3 3 5_By country" xfId="10415" xr:uid="{DCA0EB49-529A-40E7-84C5-6353B5C264A2}"/>
    <cellStyle name="Normal 6 3 3 6" xfId="10416" xr:uid="{4D910379-1A5A-40DA-88A6-42D234431CAF}"/>
    <cellStyle name="Normal 6 3 3_By country" xfId="10417" xr:uid="{F31112B8-FDC7-4109-807E-2EEC795D01B4}"/>
    <cellStyle name="Normal 6 3 4" xfId="10418" xr:uid="{78C8AD8B-EB74-4FC7-8BC9-0F71F9A5F06F}"/>
    <cellStyle name="Normal 6 3 4 2" xfId="10419" xr:uid="{32370EF4-F592-4954-A5FB-C4B4F93CDAC5}"/>
    <cellStyle name="Normal 6 3 4 2 2" xfId="10420" xr:uid="{DC7155C7-A0FD-45D8-AEB1-959523820E3B}"/>
    <cellStyle name="Normal 6 3 4 2 2 2" xfId="10421" xr:uid="{2EEF8610-1155-4F14-821F-391DE3E334A8}"/>
    <cellStyle name="Normal 6 3 4 2 2 2 2" xfId="10422" xr:uid="{3048C956-B9BE-4FA6-805F-52B1C707A462}"/>
    <cellStyle name="Normal 6 3 4 2 2 2 2 2" xfId="10423" xr:uid="{12B2203A-C7B9-49C7-B9BB-D309B5CBBB49}"/>
    <cellStyle name="Normal 6 3 4 2 2 2 2_By country" xfId="10424" xr:uid="{45D6FD1F-62F9-4616-88DC-FD3FF8240322}"/>
    <cellStyle name="Normal 6 3 4 2 2 2 3" xfId="10425" xr:uid="{230761C7-C152-45F0-B39C-0F1D4F64BD51}"/>
    <cellStyle name="Normal 6 3 4 2 2 2_By country" xfId="10426" xr:uid="{FA835ACA-70C2-4C74-AE3E-8C2A055DA5C6}"/>
    <cellStyle name="Normal 6 3 4 2 2 3" xfId="10427" xr:uid="{E4977FE8-024D-4CFF-A21E-FD573933244F}"/>
    <cellStyle name="Normal 6 3 4 2 2 3 2" xfId="10428" xr:uid="{4A84B53E-879C-4BFC-B34F-D315C6D01D16}"/>
    <cellStyle name="Normal 6 3 4 2 2 3_By country" xfId="10429" xr:uid="{355082DA-749B-4DEE-8D7D-793B80108FAF}"/>
    <cellStyle name="Normal 6 3 4 2 2 4" xfId="10430" xr:uid="{6C54C89B-4A33-4D03-9668-F748ED791CA2}"/>
    <cellStyle name="Normal 6 3 4 2 2_By country" xfId="10431" xr:uid="{47F89C42-2474-48A6-8BE6-F61C026BD8E3}"/>
    <cellStyle name="Normal 6 3 4 2 3" xfId="10432" xr:uid="{576C724C-4EAB-4E2E-822E-ED2380061654}"/>
    <cellStyle name="Normal 6 3 4 2 3 2" xfId="10433" xr:uid="{73DC9F94-D2A9-4817-B832-FA2B3DA974F4}"/>
    <cellStyle name="Normal 6 3 4 2 3 2 2" xfId="10434" xr:uid="{4ACF9610-0C9B-4936-967B-98019F1253D6}"/>
    <cellStyle name="Normal 6 3 4 2 3 2_By country" xfId="10435" xr:uid="{1AA64E56-C520-4DDA-B2CF-ABDF78542C88}"/>
    <cellStyle name="Normal 6 3 4 2 3 3" xfId="10436" xr:uid="{3FA11BF0-4396-4694-96C9-B85C70FCAA3A}"/>
    <cellStyle name="Normal 6 3 4 2 3_By country" xfId="10437" xr:uid="{77D27BD0-2ECF-4E60-9470-0C59C1CECAAA}"/>
    <cellStyle name="Normal 6 3 4 2 4" xfId="10438" xr:uid="{B6B7827B-A204-40F9-B8EC-DA4472105174}"/>
    <cellStyle name="Normal 6 3 4 2 4 2" xfId="10439" xr:uid="{C394687C-80DE-4132-AC0B-D69A0101D357}"/>
    <cellStyle name="Normal 6 3 4 2 4_By country" xfId="10440" xr:uid="{5BE6D1F5-2262-4D5E-BFD3-2E791457F228}"/>
    <cellStyle name="Normal 6 3 4 2 5" xfId="10441" xr:uid="{1AAB25C9-B737-478D-9D5A-4D6082CF615C}"/>
    <cellStyle name="Normal 6 3 4 2_By country" xfId="10442" xr:uid="{E6D4D8EC-39A9-47A4-BBDF-FD5733126109}"/>
    <cellStyle name="Normal 6 3 4 3" xfId="10443" xr:uid="{58F8F80B-D6EE-43B7-8FC4-DB86560CB4BD}"/>
    <cellStyle name="Normal 6 3 4 3 2" xfId="10444" xr:uid="{F96D435A-1BD9-436C-B858-EDDCFABBCB10}"/>
    <cellStyle name="Normal 6 3 4 3 2 2" xfId="10445" xr:uid="{369DD87E-A55D-46BF-ABA9-2C4C075BB4DD}"/>
    <cellStyle name="Normal 6 3 4 3 2 2 2" xfId="10446" xr:uid="{908F8843-F5E4-467C-AFCC-911D78743054}"/>
    <cellStyle name="Normal 6 3 4 3 2 2_By country" xfId="10447" xr:uid="{C7456FA1-C1E2-415C-8365-113E89CEC07A}"/>
    <cellStyle name="Normal 6 3 4 3 2 3" xfId="10448" xr:uid="{7C2D5BC0-37D4-4A9C-A65B-823D33AD097D}"/>
    <cellStyle name="Normal 6 3 4 3 2_By country" xfId="10449" xr:uid="{A1AB0EC1-9C26-4178-B48F-391412F58787}"/>
    <cellStyle name="Normal 6 3 4 3 3" xfId="10450" xr:uid="{1337C525-64D1-4EC1-90F6-D785B0952F7B}"/>
    <cellStyle name="Normal 6 3 4 3 3 2" xfId="10451" xr:uid="{4B5DAD16-2CE0-4B9A-9F13-2425677FD6DC}"/>
    <cellStyle name="Normal 6 3 4 3 3_By country" xfId="10452" xr:uid="{894CE6EA-5167-4F8C-90C3-333FC63104AB}"/>
    <cellStyle name="Normal 6 3 4 3 4" xfId="10453" xr:uid="{07485AA2-E570-470D-A8F8-737B1506A95E}"/>
    <cellStyle name="Normal 6 3 4 3_By country" xfId="10454" xr:uid="{8B3D12B4-C356-4424-9ED8-56B63FE428D3}"/>
    <cellStyle name="Normal 6 3 4 4" xfId="10455" xr:uid="{3B9FB6F3-ED5C-4ABA-B1D5-26E63F4F4A7E}"/>
    <cellStyle name="Normal 6 3 4 4 2" xfId="10456" xr:uid="{09F6FB94-841C-4BDA-8150-E8AAFD239314}"/>
    <cellStyle name="Normal 6 3 4 4 2 2" xfId="10457" xr:uid="{DCDD1B14-FAFD-47E8-B80C-8BE01866A2D0}"/>
    <cellStyle name="Normal 6 3 4 4 2_By country" xfId="10458" xr:uid="{E47A2235-7B2D-433B-BFDD-DBE4D6B362C0}"/>
    <cellStyle name="Normal 6 3 4 4 3" xfId="10459" xr:uid="{F8B1430F-B3D4-4ED8-93FB-1FD64C80D652}"/>
    <cellStyle name="Normal 6 3 4 4_By country" xfId="10460" xr:uid="{030BDF50-29C6-4A8F-9CD6-A33D90E9AE93}"/>
    <cellStyle name="Normal 6 3 4 5" xfId="10461" xr:uid="{54B0C455-9B6D-493A-990D-C0EACF2E2745}"/>
    <cellStyle name="Normal 6 3 4 5 2" xfId="10462" xr:uid="{4CB49450-AFC6-4578-BBA7-2BF4F6AC327E}"/>
    <cellStyle name="Normal 6 3 4 5_By country" xfId="10463" xr:uid="{C744D2F0-ACAC-4414-9F09-4BA4F70E5DC7}"/>
    <cellStyle name="Normal 6 3 4 6" xfId="10464" xr:uid="{FEE73C3E-E470-4146-8ED5-9E2FC4F49A2F}"/>
    <cellStyle name="Normal 6 3 4_By country" xfId="10465" xr:uid="{1F6280FC-A0E0-4F15-9ABB-A3755182A03D}"/>
    <cellStyle name="Normal 6 3 5" xfId="10466" xr:uid="{BB510683-BE67-4651-B1E6-90A9AF47F347}"/>
    <cellStyle name="Normal 6 3 5 2" xfId="10467" xr:uid="{F6209E42-8DF5-46F4-8D9A-8C704E0DF448}"/>
    <cellStyle name="Normal 6 3 5 2 2" xfId="10468" xr:uid="{32205AE0-3B2C-4EA4-9F5D-345D92BB23C8}"/>
    <cellStyle name="Normal 6 3 5 2 2 2" xfId="10469" xr:uid="{378E721B-D6F1-4916-88D6-673F1C6E25B8}"/>
    <cellStyle name="Normal 6 3 5 2 2 2 2" xfId="10470" xr:uid="{D1456151-020D-4FA2-98A8-4821A7283087}"/>
    <cellStyle name="Normal 6 3 5 2 2 2_By country" xfId="10471" xr:uid="{71E75083-86CD-45E6-ABC2-3745DDCAF573}"/>
    <cellStyle name="Normal 6 3 5 2 2 3" xfId="10472" xr:uid="{E5F09E3E-4C4B-4DE7-B59E-9CD38A7DB15B}"/>
    <cellStyle name="Normal 6 3 5 2 2_By country" xfId="10473" xr:uid="{6762E57E-2D1A-4A86-839A-FB881E5BEB27}"/>
    <cellStyle name="Normal 6 3 5 2 3" xfId="10474" xr:uid="{C283B9B9-D3EF-4DAF-A889-3C00A8A6A1E4}"/>
    <cellStyle name="Normal 6 3 5 2 3 2" xfId="10475" xr:uid="{36C12DE2-A1C0-461F-A409-9874D5670CD9}"/>
    <cellStyle name="Normal 6 3 5 2 3_By country" xfId="10476" xr:uid="{68763F33-D15F-49B3-A795-DCB1150BAC8E}"/>
    <cellStyle name="Normal 6 3 5 2 4" xfId="10477" xr:uid="{FDFE43E1-669F-4062-914F-9BC4A93F5762}"/>
    <cellStyle name="Normal 6 3 5 2_By country" xfId="10478" xr:uid="{403C0F08-0792-4A97-80DA-DFAA263C145C}"/>
    <cellStyle name="Normal 6 3 5 3" xfId="10479" xr:uid="{FF1402F0-18D1-4015-84CF-23761D0AE1D9}"/>
    <cellStyle name="Normal 6 3 5 3 2" xfId="10480" xr:uid="{4C0ABD19-0185-493E-96EC-029FC7253910}"/>
    <cellStyle name="Normal 6 3 5 3 2 2" xfId="10481" xr:uid="{116ECC90-0383-457E-AA84-436B6F3AEC65}"/>
    <cellStyle name="Normal 6 3 5 3 2_By country" xfId="10482" xr:uid="{A358460C-BABE-4953-A860-EDB4689F141C}"/>
    <cellStyle name="Normal 6 3 5 3 3" xfId="10483" xr:uid="{3C9AB4C3-75CA-44E5-96EA-F48F4DD3D3CF}"/>
    <cellStyle name="Normal 6 3 5 3_By country" xfId="10484" xr:uid="{8B9A68DF-D192-4E4F-A704-FCF77C87F41D}"/>
    <cellStyle name="Normal 6 3 5 4" xfId="10485" xr:uid="{D6A67920-4704-448D-AE72-AEF13EC9B316}"/>
    <cellStyle name="Normal 6 3 5 4 2" xfId="10486" xr:uid="{37E4A539-BA5C-4130-8CEA-69DB4759CBFF}"/>
    <cellStyle name="Normal 6 3 5 4_By country" xfId="10487" xr:uid="{3E2A7DCC-322C-4123-9034-B8D51C02CDE1}"/>
    <cellStyle name="Normal 6 3 5 5" xfId="10488" xr:uid="{33F2D422-7761-49E1-A663-245460FFB797}"/>
    <cellStyle name="Normal 6 3 5_By country" xfId="10489" xr:uid="{47988E94-A258-4AC0-8A84-1721724F27B1}"/>
    <cellStyle name="Normal 6 3 6" xfId="10490" xr:uid="{F48F77B3-BD36-4552-8C35-60C688E6ADBC}"/>
    <cellStyle name="Normal 6 3 6 2" xfId="10491" xr:uid="{26917026-15A8-4A0B-9E0F-F7CF28A83B68}"/>
    <cellStyle name="Normal 6 3 6 2 2" xfId="10492" xr:uid="{FDEE79DB-77CB-49E5-8BB9-34913582DBA7}"/>
    <cellStyle name="Normal 6 3 6 2 2 2" xfId="10493" xr:uid="{B9703F11-F272-4EFA-9A86-D9C11C60E0CF}"/>
    <cellStyle name="Normal 6 3 6 2 2_By country" xfId="10494" xr:uid="{C26F1443-5F3B-44FB-BD0A-8A80211A6C81}"/>
    <cellStyle name="Normal 6 3 6 2 3" xfId="10495" xr:uid="{A74376BE-78C8-43AB-BCBF-C512F06F4AB5}"/>
    <cellStyle name="Normal 6 3 6 2_By country" xfId="10496" xr:uid="{449FDAA0-3D42-4D7F-8B61-181E6325C370}"/>
    <cellStyle name="Normal 6 3 6 3" xfId="10497" xr:uid="{845F1CCE-C667-4B73-A81E-36181EA80BF1}"/>
    <cellStyle name="Normal 6 3 6 3 2" xfId="10498" xr:uid="{61F295CB-3FB0-43DE-9318-5B354031D80A}"/>
    <cellStyle name="Normal 6 3 6 3_By country" xfId="10499" xr:uid="{B631C4F3-5EA9-47B6-9319-C32ED4CEFC06}"/>
    <cellStyle name="Normal 6 3 6 4" xfId="10500" xr:uid="{53651815-336C-4F01-95DF-20D847CFF121}"/>
    <cellStyle name="Normal 6 3 6_By country" xfId="10501" xr:uid="{CE806CB5-2DCB-4E60-BBC7-19308C4C5263}"/>
    <cellStyle name="Normal 6 3 7" xfId="10502" xr:uid="{41E2884B-5424-4A83-8DA0-C6E82B04C15B}"/>
    <cellStyle name="Normal 6 3 7 2" xfId="10503" xr:uid="{5E6485A9-DC34-4FDD-A0A9-C02BB8138B16}"/>
    <cellStyle name="Normal 6 3 7 2 2" xfId="10504" xr:uid="{083D7E32-9259-4DFD-AFF9-72D65FAE8F63}"/>
    <cellStyle name="Normal 6 3 7 2_By country" xfId="10505" xr:uid="{A1B0E7DD-C06B-4BD0-BCBD-CACBE4FBB6A8}"/>
    <cellStyle name="Normal 6 3 7 3" xfId="10506" xr:uid="{5D92C558-7E70-41D9-B68B-97CC63E46EA1}"/>
    <cellStyle name="Normal 6 3 7_By country" xfId="10507" xr:uid="{B85C289B-2ADF-4E4E-9DCC-96EE8F61172F}"/>
    <cellStyle name="Normal 6 3 8" xfId="10508" xr:uid="{21AFC7F2-FF0D-47AF-B5D7-249ABDB617F9}"/>
    <cellStyle name="Normal 6 3 8 2" xfId="10509" xr:uid="{B9F82821-49E5-40FC-AECA-513B931B7C4B}"/>
    <cellStyle name="Normal 6 3 8_By country" xfId="10510" xr:uid="{AB650B11-F191-45A8-8D4E-1E1CB9F8A60C}"/>
    <cellStyle name="Normal 6 3 9" xfId="10511" xr:uid="{22A2B680-5531-43AD-A957-B4EB33E506D2}"/>
    <cellStyle name="Normal 6 3_Adjusted bridges" xfId="11127" xr:uid="{6B4AFFC3-8842-44EF-882B-5B4CCF80CB7B}"/>
    <cellStyle name="Normal 6 4" xfId="4394" xr:uid="{00000000-0005-0000-0000-00008F110000}"/>
    <cellStyle name="Normal 6 4 2" xfId="4395" xr:uid="{00000000-0005-0000-0000-000090110000}"/>
    <cellStyle name="Normal 6 4 2 2" xfId="10512" xr:uid="{ACF36706-8735-4DA4-821D-A7C9A4F69A14}"/>
    <cellStyle name="Normal 6 4 2 2 2" xfId="10513" xr:uid="{E9F34076-9B83-4069-BB46-AB17728E07D4}"/>
    <cellStyle name="Normal 6 4 2 2 2 2" xfId="10514" xr:uid="{9B989E27-892B-47CC-8386-CD03C8E0DF4D}"/>
    <cellStyle name="Normal 6 4 2 2 2 2 2" xfId="10515" xr:uid="{CDBF23CF-4323-46D4-ABA6-57BCAD23818D}"/>
    <cellStyle name="Normal 6 4 2 2 2 2 2 2" xfId="10516" xr:uid="{10254BC9-8E98-48DF-BEEE-16AFE6164D32}"/>
    <cellStyle name="Normal 6 4 2 2 2 2 2_By country" xfId="10517" xr:uid="{FCFC9772-0710-43D0-BE6A-C4B7C84472AF}"/>
    <cellStyle name="Normal 6 4 2 2 2 2 3" xfId="10518" xr:uid="{9CC9F3F4-A7F6-46C4-A204-E96DEE0D497A}"/>
    <cellStyle name="Normal 6 4 2 2 2 2_By country" xfId="10519" xr:uid="{9B79DE8F-8939-4EE2-AF13-99339406D45C}"/>
    <cellStyle name="Normal 6 4 2 2 2 3" xfId="10520" xr:uid="{CCF68E03-225A-4837-B201-D2B58023EAF4}"/>
    <cellStyle name="Normal 6 4 2 2 2 3 2" xfId="10521" xr:uid="{66056BD6-BC47-4295-B274-265A0F52D4B1}"/>
    <cellStyle name="Normal 6 4 2 2 2 3_By country" xfId="10522" xr:uid="{38C9EA75-B85B-4F8B-BC9A-8CC22916CD3D}"/>
    <cellStyle name="Normal 6 4 2 2 2 4" xfId="10523" xr:uid="{435902E0-7F81-498B-9C87-6FE81D03D714}"/>
    <cellStyle name="Normal 6 4 2 2 2_By country" xfId="10524" xr:uid="{3B5C307C-0D39-4B5E-81B9-E4715EB431EA}"/>
    <cellStyle name="Normal 6 4 2 2 3" xfId="10525" xr:uid="{16B115DF-C9A1-4986-A110-3A43C4EE3D1E}"/>
    <cellStyle name="Normal 6 4 2 2 3 2" xfId="10526" xr:uid="{06FEB316-65F4-4F0C-8B8D-CDEDEB1B3663}"/>
    <cellStyle name="Normal 6 4 2 2 3 2 2" xfId="10527" xr:uid="{F9653949-3B75-4988-B55E-F0B8DCBF84DF}"/>
    <cellStyle name="Normal 6 4 2 2 3 2_By country" xfId="10528" xr:uid="{04692457-5671-4DA9-9867-C0FA50D16549}"/>
    <cellStyle name="Normal 6 4 2 2 3 3" xfId="10529" xr:uid="{3E78F5EF-5F86-40F9-BAAF-5461BA9F56E2}"/>
    <cellStyle name="Normal 6 4 2 2 3_By country" xfId="10530" xr:uid="{20BE1CB6-03DD-43F4-B04D-27E3CA479004}"/>
    <cellStyle name="Normal 6 4 2 2 4" xfId="10531" xr:uid="{A655E0C2-329F-4977-B724-B98368B05AA1}"/>
    <cellStyle name="Normal 6 4 2 2 4 2" xfId="10532" xr:uid="{D41A2B78-DD66-4A28-8C22-6CB4C70C3FB9}"/>
    <cellStyle name="Normal 6 4 2 2 4_By country" xfId="10533" xr:uid="{4EDF5F78-10B2-4000-8A77-95F74AE56D88}"/>
    <cellStyle name="Normal 6 4 2 2 5" xfId="10534" xr:uid="{FB0F76CB-AC80-496A-8803-40346131ECC6}"/>
    <cellStyle name="Normal 6 4 2 2_By country" xfId="10535" xr:uid="{F70AC118-5AED-4EDA-877F-6006521DCCBB}"/>
    <cellStyle name="Normal 6 4 2 3" xfId="10536" xr:uid="{5A35D33B-D413-41F0-A011-24BCD077D5D8}"/>
    <cellStyle name="Normal 6 4 2 3 2" xfId="10537" xr:uid="{04E2B6CF-7657-4F1C-AD57-033F72A03923}"/>
    <cellStyle name="Normal 6 4 2 3 2 2" xfId="10538" xr:uid="{25B5DB2A-A42F-42E6-A31E-E40196A1DCEE}"/>
    <cellStyle name="Normal 6 4 2 3 2 2 2" xfId="10539" xr:uid="{621080ED-5492-4509-9089-021DF0630480}"/>
    <cellStyle name="Normal 6 4 2 3 2 2_By country" xfId="10540" xr:uid="{CF1B7B75-C1B1-47A8-AF83-99052A4E152E}"/>
    <cellStyle name="Normal 6 4 2 3 2 3" xfId="10541" xr:uid="{5E934FB3-5364-400A-842A-A037F38AE477}"/>
    <cellStyle name="Normal 6 4 2 3 2_By country" xfId="10542" xr:uid="{293A7A9F-2C46-4CBF-8BC1-8CB72F42DDC7}"/>
    <cellStyle name="Normal 6 4 2 3 3" xfId="10543" xr:uid="{5A2190DD-9DD3-4713-A14D-585E6E6F6A6F}"/>
    <cellStyle name="Normal 6 4 2 3 3 2" xfId="10544" xr:uid="{9E8D30A3-83D8-4CBF-8920-8A116DC4B5AD}"/>
    <cellStyle name="Normal 6 4 2 3 3_By country" xfId="10545" xr:uid="{BCA383DD-27A5-4D4F-BAD2-204B959281CB}"/>
    <cellStyle name="Normal 6 4 2 3 4" xfId="10546" xr:uid="{03F14375-3D77-437A-A968-816E8DDCEFDB}"/>
    <cellStyle name="Normal 6 4 2 3_By country" xfId="10547" xr:uid="{C8CAACB1-F5AC-4F48-94E4-936E8FD0CD3E}"/>
    <cellStyle name="Normal 6 4 2 4" xfId="10548" xr:uid="{FD2616F9-7124-41FC-9EE5-3AF1FDD4A021}"/>
    <cellStyle name="Normal 6 4 2 4 2" xfId="10549" xr:uid="{EB48FAC9-C582-4A27-B35B-D20FEE96C5EF}"/>
    <cellStyle name="Normal 6 4 2 4 2 2" xfId="10550" xr:uid="{F7E57378-5FC6-49CC-A2A7-F484EEA5AC03}"/>
    <cellStyle name="Normal 6 4 2 4 2_By country" xfId="10551" xr:uid="{3E1578B0-D9F9-44DE-95EE-8786AF44776A}"/>
    <cellStyle name="Normal 6 4 2 4 3" xfId="10552" xr:uid="{D999CC08-916E-4592-AD6A-FB31BF4F75AC}"/>
    <cellStyle name="Normal 6 4 2 4_By country" xfId="10553" xr:uid="{913374F0-A0EE-422D-9981-69563E228186}"/>
    <cellStyle name="Normal 6 4 2 5" xfId="10554" xr:uid="{25D252F5-4891-4BEB-A682-5352ADB85A99}"/>
    <cellStyle name="Normal 6 4 2 5 2" xfId="10555" xr:uid="{DCE838EE-D1C6-4202-A247-58C3EDBF67CF}"/>
    <cellStyle name="Normal 6 4 2 5_By country" xfId="10556" xr:uid="{578B0FBF-2A12-462F-B7F3-27D2034B34B0}"/>
    <cellStyle name="Normal 6 4 2 6" xfId="10557" xr:uid="{27E79097-170D-409E-8C7B-59B9A93EAD1D}"/>
    <cellStyle name="Normal 6 4 2_Adjusted bridges" xfId="11128" xr:uid="{61D7B480-5B6A-4DD3-9C95-3F81DA631A5C}"/>
    <cellStyle name="Normal 6 4 3" xfId="10558" xr:uid="{876FDCA7-3B03-4154-984B-D7C754952B90}"/>
    <cellStyle name="Normal 6 4 3 2" xfId="10559" xr:uid="{3C1FC658-7FE5-441C-B03B-6081C73F99DF}"/>
    <cellStyle name="Normal 6 4 3 2 2" xfId="10560" xr:uid="{2B3F2C41-E683-4D35-BD4D-7BC912722EE7}"/>
    <cellStyle name="Normal 6 4 3 2 2 2" xfId="10561" xr:uid="{51CAD949-2274-4671-A442-E3D31777DC97}"/>
    <cellStyle name="Normal 6 4 3 2 2 2 2" xfId="10562" xr:uid="{2EDD9FA9-96A8-49E2-831E-16F3B30E6720}"/>
    <cellStyle name="Normal 6 4 3 2 2 2 2 2" xfId="10563" xr:uid="{6A00EC09-5654-4D67-800D-DB4C03DC522A}"/>
    <cellStyle name="Normal 6 4 3 2 2 2 2_By country" xfId="10564" xr:uid="{E61D2A26-C4C3-4C89-A523-9D22A4F0E87F}"/>
    <cellStyle name="Normal 6 4 3 2 2 2 3" xfId="10565" xr:uid="{BA0EC182-980C-44D2-9E03-BD564476BA72}"/>
    <cellStyle name="Normal 6 4 3 2 2 2_By country" xfId="10566" xr:uid="{69A6FBB2-80AF-4FC2-BBE1-4D784052DCDD}"/>
    <cellStyle name="Normal 6 4 3 2 2 3" xfId="10567" xr:uid="{64D9B722-CCCE-45B9-A562-BDE9FB4799C5}"/>
    <cellStyle name="Normal 6 4 3 2 2 3 2" xfId="10568" xr:uid="{361CA5F9-2B33-4C2F-A524-1AC48DA394F2}"/>
    <cellStyle name="Normal 6 4 3 2 2 3_By country" xfId="10569" xr:uid="{A70CD9BC-1A2C-47A4-B050-53AAC4506269}"/>
    <cellStyle name="Normal 6 4 3 2 2 4" xfId="10570" xr:uid="{7CB9DA03-2894-46F7-B9AD-B423BD441E52}"/>
    <cellStyle name="Normal 6 4 3 2 2_By country" xfId="10571" xr:uid="{4C7F5071-052A-4872-B6C6-6287FC63F451}"/>
    <cellStyle name="Normal 6 4 3 2 3" xfId="10572" xr:uid="{CA1E117B-C0D1-4BFE-BBC8-563EA1101856}"/>
    <cellStyle name="Normal 6 4 3 2 3 2" xfId="10573" xr:uid="{A6868F2A-910E-4E83-B666-229EDB29C0ED}"/>
    <cellStyle name="Normal 6 4 3 2 3 2 2" xfId="10574" xr:uid="{83E80610-632C-4BFC-AB54-D47BECBB3CD4}"/>
    <cellStyle name="Normal 6 4 3 2 3 2_By country" xfId="10575" xr:uid="{C9C3AF33-A490-48AE-B3C3-98226B6F8382}"/>
    <cellStyle name="Normal 6 4 3 2 3 3" xfId="10576" xr:uid="{411D3D9C-0B83-4CF6-B38F-F34BA34ACC44}"/>
    <cellStyle name="Normal 6 4 3 2 3_By country" xfId="10577" xr:uid="{73515532-EB20-4FFB-A9DE-2F3FEC69E577}"/>
    <cellStyle name="Normal 6 4 3 2 4" xfId="10578" xr:uid="{EB37AA9C-15AC-4187-983B-0349D0E7CB37}"/>
    <cellStyle name="Normal 6 4 3 2 4 2" xfId="10579" xr:uid="{2AA9CB4E-9B5C-469C-A92A-0A990DC77469}"/>
    <cellStyle name="Normal 6 4 3 2 4_By country" xfId="10580" xr:uid="{A9171361-1FE9-403E-901B-32A7997E1FAC}"/>
    <cellStyle name="Normal 6 4 3 2 5" xfId="10581" xr:uid="{33F0332B-6F0B-40C3-90D6-A5172031EA64}"/>
    <cellStyle name="Normal 6 4 3 2_By country" xfId="10582" xr:uid="{751210C5-C770-4050-99DB-E607321C8476}"/>
    <cellStyle name="Normal 6 4 3 3" xfId="10583" xr:uid="{5E560323-66E3-446B-B053-1E76D0965E34}"/>
    <cellStyle name="Normal 6 4 3 3 2" xfId="10584" xr:uid="{FA5A17AD-5D49-4616-B2E4-8B51C9BB6D9A}"/>
    <cellStyle name="Normal 6 4 3 3 2 2" xfId="10585" xr:uid="{AD181246-4BB4-4426-9C44-DBA3867F9BF4}"/>
    <cellStyle name="Normal 6 4 3 3 2 2 2" xfId="10586" xr:uid="{FCA11EC4-1F8D-4DCC-A7AA-95A5E5C67AD9}"/>
    <cellStyle name="Normal 6 4 3 3 2 2_By country" xfId="10587" xr:uid="{3E3F8395-0E0C-45B7-9D81-F96583FE010C}"/>
    <cellStyle name="Normal 6 4 3 3 2 3" xfId="10588" xr:uid="{F70E6623-B577-4025-9193-731496105B69}"/>
    <cellStyle name="Normal 6 4 3 3 2_By country" xfId="10589" xr:uid="{EE08D141-0720-495F-AA8F-0423240D0CC0}"/>
    <cellStyle name="Normal 6 4 3 3 3" xfId="10590" xr:uid="{40A72363-EBD4-44DF-AB28-11A310C3A49D}"/>
    <cellStyle name="Normal 6 4 3 3 3 2" xfId="10591" xr:uid="{4EA19915-27C3-40D2-803B-032FCCB84032}"/>
    <cellStyle name="Normal 6 4 3 3 3_By country" xfId="10592" xr:uid="{9BE9A318-D7B3-4469-BA88-895BE0D47C37}"/>
    <cellStyle name="Normal 6 4 3 3 4" xfId="10593" xr:uid="{EB58A723-041B-4B84-BA39-478EF27C3325}"/>
    <cellStyle name="Normal 6 4 3 3_By country" xfId="10594" xr:uid="{BEBCBF96-01E1-46D3-8F87-186E7B087B0A}"/>
    <cellStyle name="Normal 6 4 3 4" xfId="10595" xr:uid="{8752F32D-DFBC-4220-91B0-821BAF5826B7}"/>
    <cellStyle name="Normal 6 4 3 4 2" xfId="10596" xr:uid="{6CC0725C-B7BB-4FC8-BCE1-3F404E63C85F}"/>
    <cellStyle name="Normal 6 4 3 4 2 2" xfId="10597" xr:uid="{BE46CB4E-C6CD-450C-977D-44D8CDAD8067}"/>
    <cellStyle name="Normal 6 4 3 4 2_By country" xfId="10598" xr:uid="{C9C3E35D-B1F7-455C-8B8A-7D1566A2ED5D}"/>
    <cellStyle name="Normal 6 4 3 4 3" xfId="10599" xr:uid="{78C927CB-1918-4CF3-A773-CED8D5DF600C}"/>
    <cellStyle name="Normal 6 4 3 4_By country" xfId="10600" xr:uid="{280CE22E-C141-4CFC-9F3D-A602FDD13CD6}"/>
    <cellStyle name="Normal 6 4 3 5" xfId="10601" xr:uid="{F31EB7A4-ED21-41B1-A4BE-C6E8FDF10CF2}"/>
    <cellStyle name="Normal 6 4 3 5 2" xfId="10602" xr:uid="{FFD5E3C6-AB2A-467D-867C-D23F2360AA18}"/>
    <cellStyle name="Normal 6 4 3 5_By country" xfId="10603" xr:uid="{73355CAA-5485-44C3-94D1-9B0B9EE9600F}"/>
    <cellStyle name="Normal 6 4 3 6" xfId="10604" xr:uid="{62C7F93F-F287-4B1E-8CBC-AA69DAD1578C}"/>
    <cellStyle name="Normal 6 4 3_By country" xfId="10605" xr:uid="{19C3D5AF-F81B-4D54-BA54-60E796B020C8}"/>
    <cellStyle name="Normal 6 4 4" xfId="10606" xr:uid="{F0DDC178-6DCF-4C55-9476-9EFBDD3E814F}"/>
    <cellStyle name="Normal 6 4 4 2" xfId="10607" xr:uid="{94FCA49A-CE72-48BF-B6F2-FD354F2F082C}"/>
    <cellStyle name="Normal 6 4 4 2 2" xfId="10608" xr:uid="{108A17F3-2843-4772-8573-57138CB0ED11}"/>
    <cellStyle name="Normal 6 4 4 2 2 2" xfId="10609" xr:uid="{21454188-AF78-42E5-B7A2-004AEB981A0E}"/>
    <cellStyle name="Normal 6 4 4 2 2 2 2" xfId="10610" xr:uid="{F243FF94-93E8-4F4D-BB8A-96FDB6B2E6FB}"/>
    <cellStyle name="Normal 6 4 4 2 2 2_By country" xfId="10611" xr:uid="{CE72AE1A-0403-4C7F-86A8-1766E76E6E3A}"/>
    <cellStyle name="Normal 6 4 4 2 2 3" xfId="10612" xr:uid="{2771FB56-8218-4B14-B5D7-269A6B6FE930}"/>
    <cellStyle name="Normal 6 4 4 2 2_By country" xfId="10613" xr:uid="{03660836-6D54-4068-B6E2-47F287EE75C0}"/>
    <cellStyle name="Normal 6 4 4 2 3" xfId="10614" xr:uid="{9D81A160-85F9-4E1A-B2CC-3E799D8E2E6A}"/>
    <cellStyle name="Normal 6 4 4 2 3 2" xfId="10615" xr:uid="{C486CD37-E8A8-49E5-AA7C-3C374C9D9AFD}"/>
    <cellStyle name="Normal 6 4 4 2 3_By country" xfId="10616" xr:uid="{F6F993E4-BC40-4A01-BC95-4D6F1217BC7B}"/>
    <cellStyle name="Normal 6 4 4 2 4" xfId="10617" xr:uid="{57E1C2B5-99B9-416A-8A2F-ED9E7AE615DC}"/>
    <cellStyle name="Normal 6 4 4 2_By country" xfId="10618" xr:uid="{93EA2B34-D627-4210-BE97-6995B2C33320}"/>
    <cellStyle name="Normal 6 4 4 3" xfId="10619" xr:uid="{1CD8425B-7330-41D7-A464-206B6228CE05}"/>
    <cellStyle name="Normal 6 4 4 3 2" xfId="10620" xr:uid="{2C34BA77-6CA6-40AB-8E88-00B2A63D9F5F}"/>
    <cellStyle name="Normal 6 4 4 3 2 2" xfId="10621" xr:uid="{AD8442F4-AFFD-49FC-9F40-BB1D26AD1B1B}"/>
    <cellStyle name="Normal 6 4 4 3 2_By country" xfId="10622" xr:uid="{F6578E91-E790-4FDD-B3A5-868AFA9B579A}"/>
    <cellStyle name="Normal 6 4 4 3 3" xfId="10623" xr:uid="{63A4F52C-B2EF-4415-8AA1-F2B79D9AFE36}"/>
    <cellStyle name="Normal 6 4 4 3_By country" xfId="10624" xr:uid="{BCC383DC-D01F-4153-95B7-0E5E3A1E6D19}"/>
    <cellStyle name="Normal 6 4 4 4" xfId="10625" xr:uid="{90265843-6AB9-40F6-BEA8-C5AAA36D5759}"/>
    <cellStyle name="Normal 6 4 4 4 2" xfId="10626" xr:uid="{F2CDF1DD-A7B5-4B95-BD34-4145885B1B93}"/>
    <cellStyle name="Normal 6 4 4 4_By country" xfId="10627" xr:uid="{BAFA4E9B-74B8-4560-9D4A-FE8AABA1BE38}"/>
    <cellStyle name="Normal 6 4 4 5" xfId="10628" xr:uid="{AE301F81-5696-4F20-A2DF-BCD6B006A46C}"/>
    <cellStyle name="Normal 6 4 4_By country" xfId="10629" xr:uid="{53819995-C1A6-4D70-9F82-5C62752C9D04}"/>
    <cellStyle name="Normal 6 4 5" xfId="10630" xr:uid="{932917D6-6CD7-4ED3-9376-98463F850692}"/>
    <cellStyle name="Normal 6 4 5 2" xfId="10631" xr:uid="{665FD367-9D4A-47E0-8176-D5403730F509}"/>
    <cellStyle name="Normal 6 4 5 2 2" xfId="10632" xr:uid="{8F0059BD-2BAF-4AE1-886A-AA0117963426}"/>
    <cellStyle name="Normal 6 4 5 2 2 2" xfId="10633" xr:uid="{44A5A277-1429-4691-A56A-8DAA779D146B}"/>
    <cellStyle name="Normal 6 4 5 2 2_By country" xfId="10634" xr:uid="{F184AA88-7EDE-492B-B2DC-1F4E79A0C2C2}"/>
    <cellStyle name="Normal 6 4 5 2 3" xfId="10635" xr:uid="{747FC015-C086-4699-87FD-591F13118CB3}"/>
    <cellStyle name="Normal 6 4 5 2_By country" xfId="10636" xr:uid="{3341F229-B406-4A14-AE1D-5F9FB21CA629}"/>
    <cellStyle name="Normal 6 4 5 3" xfId="10637" xr:uid="{2F21FAB6-5D0A-4BCE-84BE-046C154E756F}"/>
    <cellStyle name="Normal 6 4 5 3 2" xfId="10638" xr:uid="{A12256A6-E4F0-48F1-B5DF-E8DE39533D11}"/>
    <cellStyle name="Normal 6 4 5 3_By country" xfId="10639" xr:uid="{6DAC4A11-BBFE-4F76-9CA7-AAA892E68C2C}"/>
    <cellStyle name="Normal 6 4 5 4" xfId="10640" xr:uid="{C35A85CC-5032-4BEC-8820-A27DAD11F2AC}"/>
    <cellStyle name="Normal 6 4 5_By country" xfId="10641" xr:uid="{DFB0D29F-2870-405D-8D56-E3B3F3009E12}"/>
    <cellStyle name="Normal 6 4 6" xfId="10642" xr:uid="{A3CF1EA0-9406-4700-AB32-21E837B990A8}"/>
    <cellStyle name="Normal 6 4 6 2" xfId="10643" xr:uid="{F2376727-77E3-4B11-BB42-FE71A76EDAB9}"/>
    <cellStyle name="Normal 6 4 6 2 2" xfId="10644" xr:uid="{29599D68-C1F4-4EFB-A91C-6A741C907066}"/>
    <cellStyle name="Normal 6 4 6 2_By country" xfId="10645" xr:uid="{80F18A3B-4266-4EA2-A032-F64375A73449}"/>
    <cellStyle name="Normal 6 4 6 3" xfId="10646" xr:uid="{F1E62E3E-841B-4981-97C0-C4B17C739E4E}"/>
    <cellStyle name="Normal 6 4 6_By country" xfId="10647" xr:uid="{9A0FF866-0AAE-4645-B909-434771ECEEDD}"/>
    <cellStyle name="Normal 6 4 7" xfId="10648" xr:uid="{FC243E59-5DBC-4AB2-8679-70518700825B}"/>
    <cellStyle name="Normal 6 4 7 2" xfId="10649" xr:uid="{58789EED-D408-4CFB-94D6-A2A3D3596E78}"/>
    <cellStyle name="Normal 6 4 7_By country" xfId="10650" xr:uid="{1914BF8B-9AE1-4965-AE72-2BE88DA7A177}"/>
    <cellStyle name="Normal 6 4 8" xfId="10651" xr:uid="{65436FBB-3D88-43E8-BA03-1EA24AA8AB3C}"/>
    <cellStyle name="Normal 6 4_1 KeyFig" xfId="4396" xr:uid="{00000000-0005-0000-0000-000091110000}"/>
    <cellStyle name="Normal 6 5" xfId="4397" xr:uid="{00000000-0005-0000-0000-000092110000}"/>
    <cellStyle name="Normal 6 5 2" xfId="4398" xr:uid="{00000000-0005-0000-0000-000093110000}"/>
    <cellStyle name="Normal 6 5_1 KeyFig" xfId="4399" xr:uid="{00000000-0005-0000-0000-000094110000}"/>
    <cellStyle name="Normal 6 6" xfId="4400" xr:uid="{00000000-0005-0000-0000-000095110000}"/>
    <cellStyle name="Normal 6 6 2" xfId="4401" xr:uid="{00000000-0005-0000-0000-000096110000}"/>
    <cellStyle name="Normal 6 6 2 2" xfId="10652" xr:uid="{0C416EAE-955B-43AA-AE24-E203FF8E2C6B}"/>
    <cellStyle name="Normal 6 6 2 2 2" xfId="10653" xr:uid="{45FB0FF8-7564-4B38-B776-3598E66D55C6}"/>
    <cellStyle name="Normal 6 6 2 2 2 2" xfId="10654" xr:uid="{AA51EB58-D889-41D3-BFA0-02D96AB5E444}"/>
    <cellStyle name="Normal 6 6 2 2 2 2 2" xfId="10655" xr:uid="{66AD72FB-0FA5-47E3-BA78-BFA5521CE18B}"/>
    <cellStyle name="Normal 6 6 2 2 2 2_By country" xfId="10656" xr:uid="{A0FFE1B0-B443-47A2-AB34-C06CC328D267}"/>
    <cellStyle name="Normal 6 6 2 2 2 3" xfId="10657" xr:uid="{24FE3CC5-EA20-4FD8-B8D6-889D33A585B2}"/>
    <cellStyle name="Normal 6 6 2 2 2_By country" xfId="10658" xr:uid="{22C4B1A3-D35B-4EFF-A49E-98B3BD2F5B17}"/>
    <cellStyle name="Normal 6 6 2 2 3" xfId="10659" xr:uid="{BA168D7C-190E-4542-BD75-54BD83BB32AD}"/>
    <cellStyle name="Normal 6 6 2 2 3 2" xfId="10660" xr:uid="{77275FD7-0921-46E4-932D-D69146DFD8CF}"/>
    <cellStyle name="Normal 6 6 2 2 3_By country" xfId="10661" xr:uid="{FA818B68-9B5C-4B7F-A772-87E117A33D3B}"/>
    <cellStyle name="Normal 6 6 2 2 4" xfId="10662" xr:uid="{69312592-0384-4B19-ABA1-C90ECD3A939B}"/>
    <cellStyle name="Normal 6 6 2 2_By country" xfId="10663" xr:uid="{958FA15E-9E7A-415A-9300-77F9E19CDE86}"/>
    <cellStyle name="Normal 6 6 2 3" xfId="10664" xr:uid="{6B45ADED-5690-44C1-97F7-24E7399DC8C1}"/>
    <cellStyle name="Normal 6 6 2 3 2" xfId="10665" xr:uid="{44612456-96B5-4F76-9EE9-B043251895DA}"/>
    <cellStyle name="Normal 6 6 2 3 2 2" xfId="10666" xr:uid="{267FA19A-3359-40F3-A69A-0E2999D907C0}"/>
    <cellStyle name="Normal 6 6 2 3 2_By country" xfId="10667" xr:uid="{2BAD1CC9-31EF-4E25-90B5-717BDCDC2FAD}"/>
    <cellStyle name="Normal 6 6 2 3 3" xfId="10668" xr:uid="{DAD5EB74-E657-41B6-8A7A-EB803D31F585}"/>
    <cellStyle name="Normal 6 6 2 3_By country" xfId="10669" xr:uid="{0A0DC08B-FA2C-4F46-A7D7-7E8B41C096FA}"/>
    <cellStyle name="Normal 6 6 2 4" xfId="10670" xr:uid="{E9ED5A22-B3EF-4B52-8DB5-C852E5CF4525}"/>
    <cellStyle name="Normal 6 6 2 4 2" xfId="10671" xr:uid="{A7347435-B633-4F61-8AB9-736B5619A508}"/>
    <cellStyle name="Normal 6 6 2 4_By country" xfId="10672" xr:uid="{A7AF6930-591A-4BE3-BB2B-0B1C54DD9620}"/>
    <cellStyle name="Normal 6 6 2 5" xfId="10673" xr:uid="{89B06702-863C-4BD0-B08F-6E638A2D4CC8}"/>
    <cellStyle name="Normal 6 6 2_Adjusted bridges" xfId="11129" xr:uid="{900F930C-868F-4F9A-9C46-4BAFC8D20FEB}"/>
    <cellStyle name="Normal 6 6 3" xfId="10674" xr:uid="{69D8BE07-B816-479E-8977-1F44489585D3}"/>
    <cellStyle name="Normal 6 6 3 2" xfId="10675" xr:uid="{E4078D8D-1456-4849-A547-0163953F2EC5}"/>
    <cellStyle name="Normal 6 6 3 2 2" xfId="10676" xr:uid="{A52E717F-E7E3-4A61-AD80-762157FF5B07}"/>
    <cellStyle name="Normal 6 6 3 2 2 2" xfId="10677" xr:uid="{E09F2589-25B6-4BA9-B4E0-68CA4D2F6EE0}"/>
    <cellStyle name="Normal 6 6 3 2 2_By country" xfId="10678" xr:uid="{7DE2DC90-FD10-46F4-A4AA-9A20336361C2}"/>
    <cellStyle name="Normal 6 6 3 2 3" xfId="10679" xr:uid="{2D5E95DE-C3ED-49FE-A3B6-26340418B638}"/>
    <cellStyle name="Normal 6 6 3 2_By country" xfId="10680" xr:uid="{B891BAD5-4967-40EA-832F-DC3B378B84FD}"/>
    <cellStyle name="Normal 6 6 3 3" xfId="10681" xr:uid="{11E54053-78E9-426B-92AE-F98F95F219CA}"/>
    <cellStyle name="Normal 6 6 3 3 2" xfId="10682" xr:uid="{6E74DEDA-EA5B-4C49-BB28-21849BC388B4}"/>
    <cellStyle name="Normal 6 6 3 3_By country" xfId="10683" xr:uid="{0555E189-6380-4D2D-A428-03AE1A900707}"/>
    <cellStyle name="Normal 6 6 3 4" xfId="10684" xr:uid="{C61BE1CB-B785-4D7B-BB3D-6228E5B79965}"/>
    <cellStyle name="Normal 6 6 3_By country" xfId="10685" xr:uid="{DF50462C-6054-46E1-8A54-A34AF4C17B96}"/>
    <cellStyle name="Normal 6 6 4" xfId="10686" xr:uid="{7E41DA22-1169-442B-A934-50DD228CF609}"/>
    <cellStyle name="Normal 6 6 4 2" xfId="10687" xr:uid="{F9064C95-9596-4887-BC74-7A0024B43BA5}"/>
    <cellStyle name="Normal 6 6 4 2 2" xfId="10688" xr:uid="{3F149556-1128-422F-8761-970CCCC38255}"/>
    <cellStyle name="Normal 6 6 4 2_By country" xfId="10689" xr:uid="{875B8EBD-6AB9-40EC-B87B-DF91892E0D3E}"/>
    <cellStyle name="Normal 6 6 4 3" xfId="10690" xr:uid="{9B5F2749-5705-46D4-A41F-78D6CA6EDA3D}"/>
    <cellStyle name="Normal 6 6 4_By country" xfId="10691" xr:uid="{685C6FE0-AEC8-4635-ACF9-954805A3343B}"/>
    <cellStyle name="Normal 6 6 5" xfId="10692" xr:uid="{081D7ED8-6AB3-4316-BB8E-9AEB5B8248CA}"/>
    <cellStyle name="Normal 6 6 5 2" xfId="10693" xr:uid="{E105BC4C-CCC1-4089-8D87-3377BDAA4331}"/>
    <cellStyle name="Normal 6 6 5_By country" xfId="10694" xr:uid="{398A902B-393E-42F7-80AC-0C0B605DFCD8}"/>
    <cellStyle name="Normal 6 6 6" xfId="10695" xr:uid="{68C4402B-6E5A-4CFD-8EFB-2336E0BA4905}"/>
    <cellStyle name="Normal 6 6_1 KeyFig" xfId="4402" xr:uid="{00000000-0005-0000-0000-000097110000}"/>
    <cellStyle name="Normal 6 7" xfId="4403" xr:uid="{00000000-0005-0000-0000-000098110000}"/>
    <cellStyle name="Normal 6 7 2" xfId="4404" xr:uid="{00000000-0005-0000-0000-000099110000}"/>
    <cellStyle name="Normal 6 7_1 KeyFig" xfId="4405" xr:uid="{00000000-0005-0000-0000-00009A110000}"/>
    <cellStyle name="Normal 6 8" xfId="4406" xr:uid="{00000000-0005-0000-0000-00009B110000}"/>
    <cellStyle name="Normal 6 8 2" xfId="4407" xr:uid="{00000000-0005-0000-0000-00009C110000}"/>
    <cellStyle name="Normal 6 8_1 KeyFig" xfId="4408" xr:uid="{00000000-0005-0000-0000-00009D110000}"/>
    <cellStyle name="Normal 6 9" xfId="4409" xr:uid="{00000000-0005-0000-0000-00009E110000}"/>
    <cellStyle name="Normal 6 9 2" xfId="4410" xr:uid="{00000000-0005-0000-0000-00009F110000}"/>
    <cellStyle name="Normal 6 9_Adjusted bridges" xfId="11130" xr:uid="{CB1B866A-A433-436F-A23C-9CE46CA89901}"/>
    <cellStyle name="Normal 6_1 KeyFig" xfId="4411" xr:uid="{00000000-0005-0000-0000-0000A1110000}"/>
    <cellStyle name="Normal 60" xfId="4412" xr:uid="{00000000-0005-0000-0000-0000A2110000}"/>
    <cellStyle name="Normal 60 2" xfId="4413" xr:uid="{00000000-0005-0000-0000-0000A3110000}"/>
    <cellStyle name="Normal 60_1 KeyFig" xfId="4414" xr:uid="{00000000-0005-0000-0000-0000A4110000}"/>
    <cellStyle name="Normal 61" xfId="4415" xr:uid="{00000000-0005-0000-0000-0000A5110000}"/>
    <cellStyle name="Normal 62" xfId="4416" xr:uid="{00000000-0005-0000-0000-0000A6110000}"/>
    <cellStyle name="Normal 63" xfId="4417" xr:uid="{00000000-0005-0000-0000-0000A7110000}"/>
    <cellStyle name="Normal 64" xfId="4418" xr:uid="{00000000-0005-0000-0000-0000A8110000}"/>
    <cellStyle name="Normal 64 2" xfId="10696" xr:uid="{DB8744DB-4F61-43E5-B25C-5ADF19CE135D}"/>
    <cellStyle name="Normal 64_Adjusted bridges" xfId="11131" xr:uid="{55E05ED6-B76C-47D5-AB4F-F3E037705EBD}"/>
    <cellStyle name="Normal 65" xfId="4419" xr:uid="{00000000-0005-0000-0000-0000A9110000}"/>
    <cellStyle name="Normal 66" xfId="4420" xr:uid="{00000000-0005-0000-0000-0000AA110000}"/>
    <cellStyle name="Normal 67" xfId="4421" xr:uid="{00000000-0005-0000-0000-0000AB110000}"/>
    <cellStyle name="Normal 68" xfId="4422" xr:uid="{00000000-0005-0000-0000-0000AC110000}"/>
    <cellStyle name="Normal 69" xfId="4423" xr:uid="{00000000-0005-0000-0000-0000AD110000}"/>
    <cellStyle name="Normal 69 2" xfId="10697" xr:uid="{145BDE82-D2B0-405A-A4D9-AF9E5BB03D0B}"/>
    <cellStyle name="Normal 69_Adjusted bridges" xfId="11132" xr:uid="{66FBD18D-8074-4BF2-B71C-2AB90FA8CEF4}"/>
    <cellStyle name="Normal 7" xfId="9" xr:uid="{00000000-0005-0000-0000-0000AE110000}"/>
    <cellStyle name="Normal 7 10" xfId="4424" xr:uid="{00000000-0005-0000-0000-0000AF110000}"/>
    <cellStyle name="Normal 7 2" xfId="354" xr:uid="{00000000-0005-0000-0000-0000B0110000}"/>
    <cellStyle name="Normal 7 2 2" xfId="4425" xr:uid="{00000000-0005-0000-0000-0000B1110000}"/>
    <cellStyle name="Normal 7 2 2 2" xfId="10698" xr:uid="{B3149C13-BB0E-4096-B653-DD52254A761C}"/>
    <cellStyle name="Normal 7 2 2 2 2" xfId="10699" xr:uid="{544C76DC-A2B2-4AC1-BE1D-735A18CFC61F}"/>
    <cellStyle name="Normal 7 2 2 2 2 2" xfId="10700" xr:uid="{ABB9AF43-A08D-4EE5-91DC-1CAF2FEE84B6}"/>
    <cellStyle name="Normal 7 2 2 2 2 2 2" xfId="10701" xr:uid="{F84E1197-ADE2-400A-89AA-497059C4FD64}"/>
    <cellStyle name="Normal 7 2 2 2 2 2 2 2" xfId="10702" xr:uid="{45AD9F12-3A3F-410A-B814-FFB0D8773F97}"/>
    <cellStyle name="Normal 7 2 2 2 2 2 2_By country" xfId="10703" xr:uid="{8CDEDAB3-0898-4045-B7C5-2A2F5CCF7A1C}"/>
    <cellStyle name="Normal 7 2 2 2 2 2 3" xfId="10704" xr:uid="{54D10DF6-A6ED-444F-9E09-D283FD56DA00}"/>
    <cellStyle name="Normal 7 2 2 2 2 2_By country" xfId="10705" xr:uid="{DD23FBC1-331E-4969-AC9C-5087F4B8794B}"/>
    <cellStyle name="Normal 7 2 2 2 2 3" xfId="10706" xr:uid="{BD84519C-ACD7-4A06-8D05-D2563A40BADB}"/>
    <cellStyle name="Normal 7 2 2 2 2 3 2" xfId="10707" xr:uid="{4412B91F-D8F4-4AE9-B5D5-6C8FF8D9B655}"/>
    <cellStyle name="Normal 7 2 2 2 2 3_By country" xfId="10708" xr:uid="{AB568CE2-8E4B-4E6B-AE16-0FDC4A15597A}"/>
    <cellStyle name="Normal 7 2 2 2 2 4" xfId="10709" xr:uid="{8FFD8774-44AC-4331-9D2A-1A7FA438CED7}"/>
    <cellStyle name="Normal 7 2 2 2 2_By country" xfId="10710" xr:uid="{CE61E3E7-6C42-406D-ACFB-62B1DB37AD93}"/>
    <cellStyle name="Normal 7 2 2 2 3" xfId="10711" xr:uid="{AB3966F1-1DE5-4F49-BA71-C604DDD998E0}"/>
    <cellStyle name="Normal 7 2 2 2 3 2" xfId="10712" xr:uid="{63CDBF17-D02C-4428-BB22-29618E60BBAF}"/>
    <cellStyle name="Normal 7 2 2 2 3 2 2" xfId="10713" xr:uid="{85CBE02D-2B07-4B1F-8BC2-22F5EE788E75}"/>
    <cellStyle name="Normal 7 2 2 2 3 2_By country" xfId="10714" xr:uid="{FFD9CD4C-4E13-4571-9F36-8E706A2C90E3}"/>
    <cellStyle name="Normal 7 2 2 2 3 3" xfId="10715" xr:uid="{77D43F58-4D1C-476C-BBDC-BF8884D82967}"/>
    <cellStyle name="Normal 7 2 2 2 3_By country" xfId="10716" xr:uid="{35997FD3-2913-460B-ACFE-496C0D9FF3E6}"/>
    <cellStyle name="Normal 7 2 2 2 4" xfId="10717" xr:uid="{7AAD866C-3DC7-4B61-87C4-B3574B5891F3}"/>
    <cellStyle name="Normal 7 2 2 2 4 2" xfId="10718" xr:uid="{162CB61C-BAA8-421C-A7C9-F1171492DEEA}"/>
    <cellStyle name="Normal 7 2 2 2 4_By country" xfId="10719" xr:uid="{3E65AA78-8060-48D1-8398-3207B13EA75F}"/>
    <cellStyle name="Normal 7 2 2 2 5" xfId="10720" xr:uid="{DF5473BF-B479-4805-A36F-1D58C05C7A94}"/>
    <cellStyle name="Normal 7 2 2 2_By country" xfId="10721" xr:uid="{570B57FE-CDB1-484A-85A2-9177B5772561}"/>
    <cellStyle name="Normal 7 2 2 3" xfId="10722" xr:uid="{67D58187-1157-4108-BC6E-99DE9383E891}"/>
    <cellStyle name="Normal 7 2 2 3 2" xfId="10723" xr:uid="{95ED9BFA-AD2F-4573-82F3-33235F440353}"/>
    <cellStyle name="Normal 7 2 2 3 2 2" xfId="10724" xr:uid="{969F250A-1550-4119-8D5B-EFBCF8F60C3B}"/>
    <cellStyle name="Normal 7 2 2 3 2 2 2" xfId="10725" xr:uid="{99B6CCCB-95E2-4A69-ABEE-8E7E5FE311A6}"/>
    <cellStyle name="Normal 7 2 2 3 2 2_By country" xfId="10726" xr:uid="{747D227D-8AE4-42E9-83D8-135370007DA6}"/>
    <cellStyle name="Normal 7 2 2 3 2 3" xfId="10727" xr:uid="{C0892701-A440-454B-B20F-2D7371971F20}"/>
    <cellStyle name="Normal 7 2 2 3 2_By country" xfId="10728" xr:uid="{F5CA963D-08C1-4A7D-AA53-012ECB6386A5}"/>
    <cellStyle name="Normal 7 2 2 3 3" xfId="10729" xr:uid="{49A1FAB2-9438-4FEB-AFF0-C4338BEB6A6A}"/>
    <cellStyle name="Normal 7 2 2 3 3 2" xfId="10730" xr:uid="{1DF9AC9D-4DE4-496C-AA93-F184EDF234DD}"/>
    <cellStyle name="Normal 7 2 2 3 3_By country" xfId="10731" xr:uid="{91487103-F7AF-42C3-88C0-926391AA2EFA}"/>
    <cellStyle name="Normal 7 2 2 3 4" xfId="10732" xr:uid="{D88951BD-98B5-4CAC-8BCE-1AD0AD28B925}"/>
    <cellStyle name="Normal 7 2 2 3_By country" xfId="10733" xr:uid="{2E25FA85-90C2-484F-A1D7-F4B27A92027D}"/>
    <cellStyle name="Normal 7 2 2 4" xfId="10734" xr:uid="{4C5A8FE9-A9E3-48FC-A6EC-6548CC06380B}"/>
    <cellStyle name="Normal 7 2 2 4 2" xfId="10735" xr:uid="{FA4C35A5-9AE5-4605-AD1A-473EBAF20784}"/>
    <cellStyle name="Normal 7 2 2 4 2 2" xfId="10736" xr:uid="{4F9262D1-C71A-4B96-94E2-171F8CF5BD98}"/>
    <cellStyle name="Normal 7 2 2 4 2_By country" xfId="10737" xr:uid="{D928B52A-34C7-484F-9430-2CF127D59CAB}"/>
    <cellStyle name="Normal 7 2 2 4 3" xfId="10738" xr:uid="{8758C358-E125-4CAC-9BA1-925B914600B2}"/>
    <cellStyle name="Normal 7 2 2 4_By country" xfId="10739" xr:uid="{DF35528D-6DBE-441D-BDEE-55C84B00BF27}"/>
    <cellStyle name="Normal 7 2 2 5" xfId="10740" xr:uid="{D09B02F8-0C58-44CC-BBA6-2E2EF3B8BBBE}"/>
    <cellStyle name="Normal 7 2 2 5 2" xfId="10741" xr:uid="{6F98A608-2E96-4361-9746-4790BC90F25B}"/>
    <cellStyle name="Normal 7 2 2 5_By country" xfId="10742" xr:uid="{8149DC75-1E89-49C7-90C4-5DECC018701C}"/>
    <cellStyle name="Normal 7 2 2 6" xfId="10743" xr:uid="{8D49C6AB-4211-4FB0-8C96-768607FA74CA}"/>
    <cellStyle name="Normal 7 2 2_Adjusted bridges" xfId="11133" xr:uid="{A6732988-345D-4683-BC05-9A92AE47BC9D}"/>
    <cellStyle name="Normal 7 2 3" xfId="4426" xr:uid="{00000000-0005-0000-0000-0000B2110000}"/>
    <cellStyle name="Normal 7 2 3 2" xfId="10744" xr:uid="{4E502BA5-CF53-4207-929B-40A64DE47EF4}"/>
    <cellStyle name="Normal 7 2 3 2 2" xfId="10745" xr:uid="{768F91A1-2DB1-469E-922B-C617798B2EA8}"/>
    <cellStyle name="Normal 7 2 3 2 2 2" xfId="10746" xr:uid="{B2C3054F-D9C5-4986-B570-D05F32C36E75}"/>
    <cellStyle name="Normal 7 2 3 2 2 2 2" xfId="10747" xr:uid="{7187FD15-EC75-4F8E-94D3-88605A71C0A8}"/>
    <cellStyle name="Normal 7 2 3 2 2 2 2 2" xfId="10748" xr:uid="{FED9B3E1-097C-49C5-9705-3B0CD851F658}"/>
    <cellStyle name="Normal 7 2 3 2 2 2 2_By country" xfId="10749" xr:uid="{06ADB230-ED89-4463-BD82-41B6B3FB360C}"/>
    <cellStyle name="Normal 7 2 3 2 2 2 3" xfId="10750" xr:uid="{342C0DEB-13B1-4793-A7AB-B01C29F52EC5}"/>
    <cellStyle name="Normal 7 2 3 2 2 2_By country" xfId="10751" xr:uid="{C3DC697C-4CAB-4A01-B4C8-C4BDA1F5AE88}"/>
    <cellStyle name="Normal 7 2 3 2 2 3" xfId="10752" xr:uid="{7B3C3C4D-E669-4C82-9F45-B7800A9ED2FF}"/>
    <cellStyle name="Normal 7 2 3 2 2 3 2" xfId="10753" xr:uid="{E30250D6-64E3-44C4-A463-A9AFD192E42A}"/>
    <cellStyle name="Normal 7 2 3 2 2 3_By country" xfId="10754" xr:uid="{514B7BBE-6CCE-428F-BC8B-67A34ECB4E67}"/>
    <cellStyle name="Normal 7 2 3 2 2 4" xfId="10755" xr:uid="{E6672C8E-9A54-42A6-975F-497F2F2E4F47}"/>
    <cellStyle name="Normal 7 2 3 2 2_By country" xfId="10756" xr:uid="{90442064-72E9-4CA5-966A-D757C8D8D0C2}"/>
    <cellStyle name="Normal 7 2 3 2 3" xfId="10757" xr:uid="{EED05DFB-535E-4BEB-A9C2-A59EDE74D167}"/>
    <cellStyle name="Normal 7 2 3 2 3 2" xfId="10758" xr:uid="{B7626420-B47E-48C5-AEEF-3E609E8D365C}"/>
    <cellStyle name="Normal 7 2 3 2 3 2 2" xfId="10759" xr:uid="{F29F34B6-331E-4E8E-B6CE-59BA2A4667D9}"/>
    <cellStyle name="Normal 7 2 3 2 3 2_By country" xfId="10760" xr:uid="{8918C7F1-A1E8-456D-9C52-5D3823742BC7}"/>
    <cellStyle name="Normal 7 2 3 2 3 3" xfId="10761" xr:uid="{452E8859-CA76-4170-B4F7-E7F83F77F383}"/>
    <cellStyle name="Normal 7 2 3 2 3_By country" xfId="10762" xr:uid="{E4AD2FD3-BF03-4056-8A58-BD9B30CB2D52}"/>
    <cellStyle name="Normal 7 2 3 2 4" xfId="10763" xr:uid="{8A420347-D4E6-4284-B416-44702574F8E2}"/>
    <cellStyle name="Normal 7 2 3 2 4 2" xfId="10764" xr:uid="{9E980C7A-7CE3-4ADF-A79D-4C776F8C6102}"/>
    <cellStyle name="Normal 7 2 3 2 4_By country" xfId="10765" xr:uid="{A609332A-C581-4051-838C-7C521214FAAA}"/>
    <cellStyle name="Normal 7 2 3 2 5" xfId="10766" xr:uid="{AC87A62D-0E55-4D0C-917B-61E6F203DBF0}"/>
    <cellStyle name="Normal 7 2 3 2_By country" xfId="10767" xr:uid="{BB0246E1-CC3A-4B6C-AE24-67B9DC7763C8}"/>
    <cellStyle name="Normal 7 2 3 3" xfId="10768" xr:uid="{FABC1271-66C5-4918-916C-EF1BCDC67695}"/>
    <cellStyle name="Normal 7 2 3 3 2" xfId="10769" xr:uid="{73C8F4B6-86CD-4975-9B30-FBC8C9F302AB}"/>
    <cellStyle name="Normal 7 2 3 3 2 2" xfId="10770" xr:uid="{0A6CC318-92A0-449B-9EA3-5C7662C03B74}"/>
    <cellStyle name="Normal 7 2 3 3 2 2 2" xfId="10771" xr:uid="{9F02C5A6-BBF1-45B4-A8AF-6AD784CCBB64}"/>
    <cellStyle name="Normal 7 2 3 3 2 2_By country" xfId="10772" xr:uid="{8AAE8AD1-AA7E-4533-83F7-AADD7F4223D3}"/>
    <cellStyle name="Normal 7 2 3 3 2 3" xfId="10773" xr:uid="{C87E0499-A467-4B6C-AE42-6B43DB1B57F5}"/>
    <cellStyle name="Normal 7 2 3 3 2_By country" xfId="10774" xr:uid="{997F9940-5944-4B02-B9AE-C566EF6101D3}"/>
    <cellStyle name="Normal 7 2 3 3 3" xfId="10775" xr:uid="{A581B4D5-F126-4EE0-886E-42FED72D8010}"/>
    <cellStyle name="Normal 7 2 3 3 3 2" xfId="10776" xr:uid="{4CA015FD-200F-40AA-8025-8BFA8B02317D}"/>
    <cellStyle name="Normal 7 2 3 3 3_By country" xfId="10777" xr:uid="{A281CEFD-DCC7-4C84-AE06-CC849577AA55}"/>
    <cellStyle name="Normal 7 2 3 3 4" xfId="10778" xr:uid="{AC82B688-9A40-4EC5-8BF7-768132CFC33D}"/>
    <cellStyle name="Normal 7 2 3 3_By country" xfId="10779" xr:uid="{C7340271-E7EF-4A8F-8CCB-E08959EDE3FB}"/>
    <cellStyle name="Normal 7 2 3 4" xfId="10780" xr:uid="{ED77B050-0E37-4246-9529-6F664A425B88}"/>
    <cellStyle name="Normal 7 2 3 4 2" xfId="10781" xr:uid="{A25CDBCB-7581-4850-97ED-9BEA6E7495A0}"/>
    <cellStyle name="Normal 7 2 3 4 2 2" xfId="10782" xr:uid="{E47E32CA-CE34-4AC7-865C-25CA0E8A2618}"/>
    <cellStyle name="Normal 7 2 3 4 2_By country" xfId="10783" xr:uid="{50F40288-3B2C-4D18-A8D3-50C5E9A3717E}"/>
    <cellStyle name="Normal 7 2 3 4 3" xfId="10784" xr:uid="{BABB92BC-A967-48DB-BF3F-509AE21EEA9C}"/>
    <cellStyle name="Normal 7 2 3 4_By country" xfId="10785" xr:uid="{1B823717-6369-4944-BAA0-0741520E4EB7}"/>
    <cellStyle name="Normal 7 2 3 5" xfId="10786" xr:uid="{25CB3AD0-2B3B-4057-828A-1DAFFA5D9611}"/>
    <cellStyle name="Normal 7 2 3 5 2" xfId="10787" xr:uid="{EF0EBD81-9AB8-4D96-BF21-0E9DBF4869F4}"/>
    <cellStyle name="Normal 7 2 3 5_By country" xfId="10788" xr:uid="{8CE1D669-6AA7-478F-B627-FCF9277A24F4}"/>
    <cellStyle name="Normal 7 2 3 6" xfId="10789" xr:uid="{366E0DAA-0CF3-401A-8855-6C6A0122E6A1}"/>
    <cellStyle name="Normal 7 2 3_Adjusted bridges" xfId="11134" xr:uid="{EDA788C8-4060-4922-B5C2-46A2E4EAB7DF}"/>
    <cellStyle name="Normal 7 2 4" xfId="4427" xr:uid="{00000000-0005-0000-0000-0000B3110000}"/>
    <cellStyle name="Normal 7 2 4 2" xfId="10790" xr:uid="{54E119FD-EEDA-4440-8D84-2BD58F8B67C3}"/>
    <cellStyle name="Normal 7 2 4 2 2" xfId="10791" xr:uid="{E799C29F-F2FF-4123-97C1-60A33F592107}"/>
    <cellStyle name="Normal 7 2 4 2 2 2" xfId="10792" xr:uid="{0A7F0035-98EF-4708-9981-63515B4DFF0E}"/>
    <cellStyle name="Normal 7 2 4 2 2 2 2" xfId="10793" xr:uid="{E139FF6E-4672-4058-ADCC-BFEF96DE577A}"/>
    <cellStyle name="Normal 7 2 4 2 2 2_By country" xfId="10794" xr:uid="{D683E8A8-62D7-48AF-A598-4F9C27F374CF}"/>
    <cellStyle name="Normal 7 2 4 2 2 3" xfId="10795" xr:uid="{724F826F-07AD-43F8-A1AC-771DC5661B23}"/>
    <cellStyle name="Normal 7 2 4 2 2_By country" xfId="10796" xr:uid="{36304E54-D427-4D18-9622-3702057154B8}"/>
    <cellStyle name="Normal 7 2 4 2 3" xfId="10797" xr:uid="{BC084DC4-69AB-48B2-ABCC-FB19199C8530}"/>
    <cellStyle name="Normal 7 2 4 2 3 2" xfId="10798" xr:uid="{83153E81-987D-4724-974D-853F90ABA228}"/>
    <cellStyle name="Normal 7 2 4 2 3_By country" xfId="10799" xr:uid="{768D0C8F-30F8-43B3-AD57-AF04E1C624AF}"/>
    <cellStyle name="Normal 7 2 4 2 4" xfId="10800" xr:uid="{0FA4826D-E924-4BF7-AA57-204B644F7757}"/>
    <cellStyle name="Normal 7 2 4 2_By country" xfId="10801" xr:uid="{9BF7BA5F-9810-44E7-BB03-A767715015FC}"/>
    <cellStyle name="Normal 7 2 4 3" xfId="10802" xr:uid="{218043F6-5EC2-464F-8F27-75E1161BAD83}"/>
    <cellStyle name="Normal 7 2 4 3 2" xfId="10803" xr:uid="{AB58527C-04F7-471D-820C-F7CCEDD1BF0E}"/>
    <cellStyle name="Normal 7 2 4 3 2 2" xfId="10804" xr:uid="{60997AC3-EACE-48A8-B180-1E4C74C86338}"/>
    <cellStyle name="Normal 7 2 4 3 2_By country" xfId="10805" xr:uid="{483A363D-B123-406D-A4C4-CEF176681F32}"/>
    <cellStyle name="Normal 7 2 4 3 3" xfId="10806" xr:uid="{78603731-4CA4-4FFF-9729-8405FA434C68}"/>
    <cellStyle name="Normal 7 2 4 3_By country" xfId="10807" xr:uid="{26E852B6-C15B-48C0-AEF0-6F393F982077}"/>
    <cellStyle name="Normal 7 2 4 4" xfId="10808" xr:uid="{3D8ED763-0BE9-404C-96E5-954C8198FC7D}"/>
    <cellStyle name="Normal 7 2 4 4 2" xfId="10809" xr:uid="{B3B3A2D2-D334-4405-BF34-A23693517E07}"/>
    <cellStyle name="Normal 7 2 4 4_By country" xfId="10810" xr:uid="{6CDDF557-7165-4641-937D-AE5856166D7A}"/>
    <cellStyle name="Normal 7 2 4 5" xfId="10811" xr:uid="{B09A3F80-BB8B-4B85-B31C-7BCCCD4F7323}"/>
    <cellStyle name="Normal 7 2 4_Adjusted bridges" xfId="11135" xr:uid="{972AA40D-1B41-4D3C-B3F6-73900D705B57}"/>
    <cellStyle name="Normal 7 2 5" xfId="4428" xr:uid="{00000000-0005-0000-0000-0000B4110000}"/>
    <cellStyle name="Normal 7 2 5 2" xfId="10812" xr:uid="{A9ABEF1A-5B96-4ABB-B99B-695BBD9E4855}"/>
    <cellStyle name="Normal 7 2 5 2 2" xfId="10813" xr:uid="{C7007B5F-F2A8-4E99-8983-AB6712911BFF}"/>
    <cellStyle name="Normal 7 2 5 2 2 2" xfId="10814" xr:uid="{EB99956F-1DB4-4F03-8BD3-F0652D3B3D5A}"/>
    <cellStyle name="Normal 7 2 5 2 2_By country" xfId="10815" xr:uid="{09AC8250-4122-4BC8-AEFB-7CA5456E7A6B}"/>
    <cellStyle name="Normal 7 2 5 2 3" xfId="10816" xr:uid="{E9E82AAD-CB24-45FB-982F-ABDFAEFB361C}"/>
    <cellStyle name="Normal 7 2 5 2_By country" xfId="10817" xr:uid="{9BE6A7F9-F4FA-4115-909E-399B40442D09}"/>
    <cellStyle name="Normal 7 2 5 3" xfId="10818" xr:uid="{BA9A6881-3DD1-45E3-9997-BA85F250F5B3}"/>
    <cellStyle name="Normal 7 2 5 3 2" xfId="10819" xr:uid="{56C6B436-5766-4966-9DD1-6B3E9B6C7C7E}"/>
    <cellStyle name="Normal 7 2 5 3_By country" xfId="10820" xr:uid="{F4DAEBB6-59C6-423F-82BD-83254A19824A}"/>
    <cellStyle name="Normal 7 2 5 4" xfId="10821" xr:uid="{F4C111AE-EEF2-41D8-B30C-50C0758A4A7E}"/>
    <cellStyle name="Normal 7 2 5_Adjusted bridges" xfId="11136" xr:uid="{79465B58-60C6-4597-BD7A-20FA09FE2592}"/>
    <cellStyle name="Normal 7 2 6" xfId="10822" xr:uid="{5D7210BB-CE98-4BC6-BA4B-7AB04C50736B}"/>
    <cellStyle name="Normal 7 2 6 2" xfId="10823" xr:uid="{B769674F-4396-4247-8E43-C2EA67B275E7}"/>
    <cellStyle name="Normal 7 2 6 2 2" xfId="10824" xr:uid="{4621899D-2983-4501-B1E6-783C05C507A2}"/>
    <cellStyle name="Normal 7 2 6 2_By country" xfId="10825" xr:uid="{82E5BCB9-88E4-4657-A4EA-2AA61FF277EA}"/>
    <cellStyle name="Normal 7 2 6 3" xfId="10826" xr:uid="{8F2DAADE-7B77-4D51-8909-F17DBB330F2D}"/>
    <cellStyle name="Normal 7 2 6_By country" xfId="10827" xr:uid="{332C7C7B-4B83-4EF5-A41C-FF5DD25CC0F9}"/>
    <cellStyle name="Normal 7 2 7" xfId="10828" xr:uid="{13B04BC2-6A0B-4AA0-A56A-FB86B0B1D4D5}"/>
    <cellStyle name="Normal 7 2 7 2" xfId="10829" xr:uid="{70C4AFBB-3972-4999-AE71-EA17BFE6D946}"/>
    <cellStyle name="Normal 7 2 7_By country" xfId="10830" xr:uid="{11995002-611C-4423-8C03-36DD4D616EA7}"/>
    <cellStyle name="Normal 7 2 8" xfId="10831" xr:uid="{C43A1824-4F07-4F6D-AA19-3D556A196630}"/>
    <cellStyle name="Normal 7 2_1 KeyFig" xfId="4429" xr:uid="{00000000-0005-0000-0000-0000B5110000}"/>
    <cellStyle name="Normal 7 3" xfId="4430" xr:uid="{00000000-0005-0000-0000-0000B6110000}"/>
    <cellStyle name="Normal 7 3 2" xfId="4431" xr:uid="{00000000-0005-0000-0000-0000B7110000}"/>
    <cellStyle name="Normal 7 3_1 KeyFig" xfId="4432" xr:uid="{00000000-0005-0000-0000-0000B8110000}"/>
    <cellStyle name="Normal 7 4" xfId="4433" xr:uid="{00000000-0005-0000-0000-0000B9110000}"/>
    <cellStyle name="Normal 7 4 2" xfId="4434" xr:uid="{00000000-0005-0000-0000-0000BA110000}"/>
    <cellStyle name="Normal 7 4 2 2" xfId="10832" xr:uid="{3ACF2E90-786D-48CA-B873-61442131ACEF}"/>
    <cellStyle name="Normal 7 4 2 2 2" xfId="10833" xr:uid="{154498E0-ADA2-49B6-A78B-464C397999DB}"/>
    <cellStyle name="Normal 7 4 2 2 2 2" xfId="10834" xr:uid="{F2E474AD-03E3-46C8-A341-499D20B897A9}"/>
    <cellStyle name="Normal 7 4 2 2 2 2 2" xfId="10835" xr:uid="{1CC977D0-9683-4A6C-8266-52CC58B9B6AD}"/>
    <cellStyle name="Normal 7 4 2 2 2 2_By country" xfId="10836" xr:uid="{9510F003-508C-41A7-9F46-8FFAADDF3297}"/>
    <cellStyle name="Normal 7 4 2 2 2 3" xfId="10837" xr:uid="{1AF136F1-3E74-4411-9E88-DC39418CDB8C}"/>
    <cellStyle name="Normal 7 4 2 2 2_By country" xfId="10838" xr:uid="{4CAE1ADE-48F8-4771-8FB0-BCCF5B935E6C}"/>
    <cellStyle name="Normal 7 4 2 2 3" xfId="10839" xr:uid="{44E977D7-42CE-4E57-9593-CDE4FBC6C015}"/>
    <cellStyle name="Normal 7 4 2 2 3 2" xfId="10840" xr:uid="{7AFD9B1B-6BE7-4EDC-8203-A6A08CD8FB8C}"/>
    <cellStyle name="Normal 7 4 2 2 3_By country" xfId="10841" xr:uid="{54920191-4916-43C4-93FA-0B1396A0D41D}"/>
    <cellStyle name="Normal 7 4 2 2 4" xfId="10842" xr:uid="{355159B9-81D9-4936-8BBB-6C446A9C5724}"/>
    <cellStyle name="Normal 7 4 2 2_By country" xfId="10843" xr:uid="{8877A8F6-450E-4A83-84D4-2CD4C0BBC6AA}"/>
    <cellStyle name="Normal 7 4 2 3" xfId="10844" xr:uid="{641DA7BB-0C27-4B9D-BDC3-F78960C859FB}"/>
    <cellStyle name="Normal 7 4 2 3 2" xfId="10845" xr:uid="{8016F6C1-01A5-4AA1-BC2A-23E17268DBE7}"/>
    <cellStyle name="Normal 7 4 2 3 2 2" xfId="10846" xr:uid="{257C66B6-38CC-4742-9710-92A13884EE7C}"/>
    <cellStyle name="Normal 7 4 2 3 2_By country" xfId="10847" xr:uid="{42433AEB-58A1-4FBF-9DB2-BB4A2B2B461D}"/>
    <cellStyle name="Normal 7 4 2 3 3" xfId="10848" xr:uid="{A070A578-D0E4-40C3-96FA-35A2154E5A41}"/>
    <cellStyle name="Normal 7 4 2 3_By country" xfId="10849" xr:uid="{429CE47A-5228-415B-887E-04015AE495C6}"/>
    <cellStyle name="Normal 7 4 2 4" xfId="10850" xr:uid="{DB8ED6AE-D88B-4221-8951-CBE1ED41F8F6}"/>
    <cellStyle name="Normal 7 4 2 4 2" xfId="10851" xr:uid="{D1D52CAF-290E-42A0-B185-696155E3248D}"/>
    <cellStyle name="Normal 7 4 2 4_By country" xfId="10852" xr:uid="{D4DEE04C-B7E0-4545-BE5F-DA072D3B2322}"/>
    <cellStyle name="Normal 7 4 2 5" xfId="10853" xr:uid="{40556528-33E0-45DA-BD83-2AEF33135034}"/>
    <cellStyle name="Normal 7 4 2_Adjusted bridges" xfId="11138" xr:uid="{E9A597A7-0ACB-46F1-960F-345507D47DE4}"/>
    <cellStyle name="Normal 7 4 3" xfId="10854" xr:uid="{598DDE12-4A21-4219-9E30-ADFFE5295CA4}"/>
    <cellStyle name="Normal 7 4 3 2" xfId="10855" xr:uid="{543584A8-59C5-4D28-989F-E62E6B1AD76D}"/>
    <cellStyle name="Normal 7 4 3 2 2" xfId="10856" xr:uid="{A976A8CF-DEB5-4A1C-B877-560AFF49F884}"/>
    <cellStyle name="Normal 7 4 3 2 2 2" xfId="10857" xr:uid="{ABF0C434-EB88-4E04-B776-2475466F759B}"/>
    <cellStyle name="Normal 7 4 3 2 2_By country" xfId="10858" xr:uid="{9D4A38E1-E7C0-4717-A196-42CB8D57EBD9}"/>
    <cellStyle name="Normal 7 4 3 2 3" xfId="10859" xr:uid="{C8935052-B5F5-4569-A9D8-E79483C43AB8}"/>
    <cellStyle name="Normal 7 4 3 2_By country" xfId="10860" xr:uid="{D93E6C69-E5EE-4BD9-ACFE-FF9AA2511E68}"/>
    <cellStyle name="Normal 7 4 3 3" xfId="10861" xr:uid="{4CED975E-BCF2-45D8-BA7B-56FE50E8691C}"/>
    <cellStyle name="Normal 7 4 3 3 2" xfId="10862" xr:uid="{9BB37770-16AA-49E1-996B-ED05FAA82FBC}"/>
    <cellStyle name="Normal 7 4 3 3_By country" xfId="10863" xr:uid="{4147CCAE-8F32-4843-8AEA-DEB4263B6AF3}"/>
    <cellStyle name="Normal 7 4 3 4" xfId="10864" xr:uid="{F1E14A57-EA63-4D99-8C1D-AF2EE06FB3CB}"/>
    <cellStyle name="Normal 7 4 3_By country" xfId="10865" xr:uid="{1AEABB31-DF4F-4488-9D45-19D3DBB86DD6}"/>
    <cellStyle name="Normal 7 4 4" xfId="10866" xr:uid="{A410E2D6-FA06-4029-8B1D-FA8DAF3D816E}"/>
    <cellStyle name="Normal 7 4 4 2" xfId="10867" xr:uid="{0ED248AE-2676-44CD-89B8-85BCC3857596}"/>
    <cellStyle name="Normal 7 4 4 2 2" xfId="10868" xr:uid="{48C60594-982E-4E63-9BAD-D04B15FA443A}"/>
    <cellStyle name="Normal 7 4 4 2_By country" xfId="10869" xr:uid="{E869C07D-3B26-4EFB-8DA9-094AB7F9C269}"/>
    <cellStyle name="Normal 7 4 4 3" xfId="10870" xr:uid="{CCD8F956-EB5E-40FE-B088-A42BF68B1E59}"/>
    <cellStyle name="Normal 7 4 4_By country" xfId="10871" xr:uid="{99C0F1F0-F249-4C22-91C2-7F5F19BDAD9E}"/>
    <cellStyle name="Normal 7 4 5" xfId="10872" xr:uid="{DFEC84C4-5357-4160-A83E-27C8C875D1B4}"/>
    <cellStyle name="Normal 7 4 5 2" xfId="10873" xr:uid="{460985D7-9D8C-4C4B-A9CB-5A2324E89790}"/>
    <cellStyle name="Normal 7 4 5_By country" xfId="10874" xr:uid="{E50C4130-B685-41D2-873E-BFB7129B5E8D}"/>
    <cellStyle name="Normal 7 4 6" xfId="10875" xr:uid="{EF9A42DE-2109-4E6E-994A-AC4935B3C860}"/>
    <cellStyle name="Normal 7 4_Adjusted bridges" xfId="11137" xr:uid="{3BAE4B17-B307-4899-9252-C9407401131C}"/>
    <cellStyle name="Normal 7 5" xfId="4435" xr:uid="{00000000-0005-0000-0000-0000BC110000}"/>
    <cellStyle name="Normal 7 5 2" xfId="4436" xr:uid="{00000000-0005-0000-0000-0000BD110000}"/>
    <cellStyle name="Normal 7 5_Adjusted bridges" xfId="11139" xr:uid="{59A252FE-8290-476B-B6FC-1EAD9E4EF165}"/>
    <cellStyle name="Normal 7 6" xfId="4437" xr:uid="{00000000-0005-0000-0000-0000BF110000}"/>
    <cellStyle name="Normal 7 7" xfId="4438" xr:uid="{00000000-0005-0000-0000-0000C0110000}"/>
    <cellStyle name="Normal 7 8" xfId="4439" xr:uid="{00000000-0005-0000-0000-0000C1110000}"/>
    <cellStyle name="Normal 7 9" xfId="4440" xr:uid="{00000000-0005-0000-0000-0000C2110000}"/>
    <cellStyle name="Normal 7_1 KeyFig" xfId="4441" xr:uid="{00000000-0005-0000-0000-0000C3110000}"/>
    <cellStyle name="Normal 70" xfId="4442" xr:uid="{00000000-0005-0000-0000-0000C4110000}"/>
    <cellStyle name="Normal 71" xfId="4443" xr:uid="{00000000-0005-0000-0000-0000C5110000}"/>
    <cellStyle name="Normal 72" xfId="4444" xr:uid="{00000000-0005-0000-0000-0000C6110000}"/>
    <cellStyle name="Normal 73" xfId="4445" xr:uid="{00000000-0005-0000-0000-0000C7110000}"/>
    <cellStyle name="Normal 74" xfId="4446" xr:uid="{00000000-0005-0000-0000-0000C8110000}"/>
    <cellStyle name="Normal 74 2" xfId="10876" xr:uid="{EF687040-B606-4253-8F91-BC3E7A5848AD}"/>
    <cellStyle name="Normal 74_Adjusted bridges" xfId="11140" xr:uid="{39DE351E-ED2F-40FA-895C-9567054BB99D}"/>
    <cellStyle name="Normal 75" xfId="4447" xr:uid="{00000000-0005-0000-0000-0000C9110000}"/>
    <cellStyle name="Normal 75 2" xfId="10877" xr:uid="{2270B284-80E3-40F8-AAEB-62F461FF4616}"/>
    <cellStyle name="Normal 75_Adjusted bridges" xfId="11141" xr:uid="{2F525488-755A-48A4-A210-95BDF77190B0}"/>
    <cellStyle name="Normal 76" xfId="4448" xr:uid="{00000000-0005-0000-0000-0000CA110000}"/>
    <cellStyle name="Normal 76 2" xfId="10878" xr:uid="{6039B659-5B4C-4998-9280-AB66FC3E0BB1}"/>
    <cellStyle name="Normal 76_Adjusted bridges" xfId="11142" xr:uid="{491E9471-05B2-487C-95B2-DD55341A2EA3}"/>
    <cellStyle name="Normal 77" xfId="4449" xr:uid="{00000000-0005-0000-0000-0000CB110000}"/>
    <cellStyle name="Normal 77 2" xfId="10879" xr:uid="{0F31D982-C504-4558-BC7B-A6D7F7E76A73}"/>
    <cellStyle name="Normal 77_Adjusted bridges" xfId="11143" xr:uid="{07DE207C-5149-46B6-AE7B-5006CF8E6DA8}"/>
    <cellStyle name="Normal 78" xfId="4450" xr:uid="{00000000-0005-0000-0000-0000CC110000}"/>
    <cellStyle name="Normal 78 2" xfId="10880" xr:uid="{CE49AD5D-AEB7-409C-9C98-FD7BE16C4096}"/>
    <cellStyle name="Normal 78_Adjusted bridges" xfId="11144" xr:uid="{4B3FAC9B-9324-4E43-AF17-1608071BC162}"/>
    <cellStyle name="Normal 79" xfId="4451" xr:uid="{00000000-0005-0000-0000-0000CD110000}"/>
    <cellStyle name="Normal 79 2" xfId="10881" xr:uid="{E0B90BC0-D75A-4F25-85E1-B02A7C340CA4}"/>
    <cellStyle name="Normal 79_Adjusted bridges" xfId="11145" xr:uid="{B8447115-C83D-4373-AAA8-0C2E2E3BA2F6}"/>
    <cellStyle name="Normal 8" xfId="7" xr:uid="{00000000-0005-0000-0000-0000CE110000}"/>
    <cellStyle name="Normal 8 10" xfId="4452" xr:uid="{00000000-0005-0000-0000-0000CF110000}"/>
    <cellStyle name="Normal 8 10 2" xfId="4453" xr:uid="{00000000-0005-0000-0000-0000D0110000}"/>
    <cellStyle name="Normal 8 10 2 2" xfId="4454" xr:uid="{00000000-0005-0000-0000-0000D1110000}"/>
    <cellStyle name="Normal 8 10 2 2 2" xfId="4455" xr:uid="{00000000-0005-0000-0000-0000D2110000}"/>
    <cellStyle name="Normal 8 10 2 2 2 2" xfId="4456" xr:uid="{00000000-0005-0000-0000-0000D3110000}"/>
    <cellStyle name="Normal 8 10 2 2 2 3" xfId="4457" xr:uid="{00000000-0005-0000-0000-0000D4110000}"/>
    <cellStyle name="Normal 8 10 2 2 2_Adjusted bridges" xfId="11149" xr:uid="{E4181862-17A1-4AA6-BBB6-804F86980601}"/>
    <cellStyle name="Normal 8 10 2 2 3" xfId="4458" xr:uid="{00000000-0005-0000-0000-0000D6110000}"/>
    <cellStyle name="Normal 8 10 2 2 3 2" xfId="4459" xr:uid="{00000000-0005-0000-0000-0000D7110000}"/>
    <cellStyle name="Normal 8 10 2 2 3 3" xfId="4460" xr:uid="{00000000-0005-0000-0000-0000D8110000}"/>
    <cellStyle name="Normal 8 10 2 2 3_Adjusted bridges" xfId="11150" xr:uid="{74E5C66D-03E8-4459-B8AF-AA1312DB99D0}"/>
    <cellStyle name="Normal 8 10 2 2 4" xfId="4461" xr:uid="{00000000-0005-0000-0000-0000DA110000}"/>
    <cellStyle name="Normal 8 10 2 2 5" xfId="4462" xr:uid="{00000000-0005-0000-0000-0000DB110000}"/>
    <cellStyle name="Normal 8 10 2 2_Adjusted bridges" xfId="11148" xr:uid="{9A812099-7C57-4E16-9EC1-2C6049B5D842}"/>
    <cellStyle name="Normal 8 10 2 3" xfId="4463" xr:uid="{00000000-0005-0000-0000-0000DD110000}"/>
    <cellStyle name="Normal 8 10 2 3 2" xfId="4464" xr:uid="{00000000-0005-0000-0000-0000DE110000}"/>
    <cellStyle name="Normal 8 10 2 3 3" xfId="4465" xr:uid="{00000000-0005-0000-0000-0000DF110000}"/>
    <cellStyle name="Normal 8 10 2 3_Adjusted bridges" xfId="11151" xr:uid="{D3D21794-53BD-4F0B-9288-F20AAED1F634}"/>
    <cellStyle name="Normal 8 10 2 4" xfId="4466" xr:uid="{00000000-0005-0000-0000-0000E1110000}"/>
    <cellStyle name="Normal 8 10 2 4 2" xfId="4467" xr:uid="{00000000-0005-0000-0000-0000E2110000}"/>
    <cellStyle name="Normal 8 10 2 4 3" xfId="4468" xr:uid="{00000000-0005-0000-0000-0000E3110000}"/>
    <cellStyle name="Normal 8 10 2 4_Adjusted bridges" xfId="11152" xr:uid="{10DB9612-4E0E-4363-A320-9A348B686B50}"/>
    <cellStyle name="Normal 8 10 2 5" xfId="4469" xr:uid="{00000000-0005-0000-0000-0000E5110000}"/>
    <cellStyle name="Normal 8 10 2 6" xfId="4470" xr:uid="{00000000-0005-0000-0000-0000E6110000}"/>
    <cellStyle name="Normal 8 10 2_Adjusted bridges" xfId="11147" xr:uid="{4D57A71F-81E5-4A64-B367-A98D25F5F194}"/>
    <cellStyle name="Normal 8 10 3" xfId="4471" xr:uid="{00000000-0005-0000-0000-0000E8110000}"/>
    <cellStyle name="Normal 8 10 3 2" xfId="4472" xr:uid="{00000000-0005-0000-0000-0000E9110000}"/>
    <cellStyle name="Normal 8 10 3 2 2" xfId="4473" xr:uid="{00000000-0005-0000-0000-0000EA110000}"/>
    <cellStyle name="Normal 8 10 3 2 3" xfId="4474" xr:uid="{00000000-0005-0000-0000-0000EB110000}"/>
    <cellStyle name="Normal 8 10 3 2_Adjusted bridges" xfId="11154" xr:uid="{95592F92-1E7E-4192-9FCD-949F20741B35}"/>
    <cellStyle name="Normal 8 10 3 3" xfId="4475" xr:uid="{00000000-0005-0000-0000-0000ED110000}"/>
    <cellStyle name="Normal 8 10 3 3 2" xfId="4476" xr:uid="{00000000-0005-0000-0000-0000EE110000}"/>
    <cellStyle name="Normal 8 10 3 3 3" xfId="4477" xr:uid="{00000000-0005-0000-0000-0000EF110000}"/>
    <cellStyle name="Normal 8 10 3 3_Adjusted bridges" xfId="11155" xr:uid="{920D2FC3-4266-4326-955E-9402749510B5}"/>
    <cellStyle name="Normal 8 10 3 4" xfId="4478" xr:uid="{00000000-0005-0000-0000-0000F1110000}"/>
    <cellStyle name="Normal 8 10 3 5" xfId="4479" xr:uid="{00000000-0005-0000-0000-0000F2110000}"/>
    <cellStyle name="Normal 8 10 3_Adjusted bridges" xfId="11153" xr:uid="{9B329A17-ABA9-4C08-84E8-59E6E6D8F2F1}"/>
    <cellStyle name="Normal 8 10 4" xfId="4480" xr:uid="{00000000-0005-0000-0000-0000F4110000}"/>
    <cellStyle name="Normal 8 10 4 2" xfId="4481" xr:uid="{00000000-0005-0000-0000-0000F5110000}"/>
    <cellStyle name="Normal 8 10 4 3" xfId="4482" xr:uid="{00000000-0005-0000-0000-0000F6110000}"/>
    <cellStyle name="Normal 8 10 4_Adjusted bridges" xfId="11156" xr:uid="{8363D74B-13FC-46AA-9F14-664CF2EE4620}"/>
    <cellStyle name="Normal 8 10 5" xfId="4483" xr:uid="{00000000-0005-0000-0000-0000F8110000}"/>
    <cellStyle name="Normal 8 10 5 2" xfId="4484" xr:uid="{00000000-0005-0000-0000-0000F9110000}"/>
    <cellStyle name="Normal 8 10 5 3" xfId="4485" xr:uid="{00000000-0005-0000-0000-0000FA110000}"/>
    <cellStyle name="Normal 8 10 5_Adjusted bridges" xfId="11157" xr:uid="{018CAD02-18D2-416A-B691-D84F2D0D553F}"/>
    <cellStyle name="Normal 8 10 6" xfId="4486" xr:uid="{00000000-0005-0000-0000-0000FC110000}"/>
    <cellStyle name="Normal 8 10 7" xfId="4487" xr:uid="{00000000-0005-0000-0000-0000FD110000}"/>
    <cellStyle name="Normal 8 10_Adjusted bridges" xfId="11146" xr:uid="{D43A0D51-F658-4D95-88D5-585336C13F6A}"/>
    <cellStyle name="Normal 8 11" xfId="4488" xr:uid="{00000000-0005-0000-0000-0000FF110000}"/>
    <cellStyle name="Normal 8 11 2" xfId="4489" xr:uid="{00000000-0005-0000-0000-000000120000}"/>
    <cellStyle name="Normal 8 11 2 2" xfId="4490" xr:uid="{00000000-0005-0000-0000-000001120000}"/>
    <cellStyle name="Normal 8 11 2 2 2" xfId="4491" xr:uid="{00000000-0005-0000-0000-000002120000}"/>
    <cellStyle name="Normal 8 11 2 2 2 2" xfId="4492" xr:uid="{00000000-0005-0000-0000-000003120000}"/>
    <cellStyle name="Normal 8 11 2 2 2 3" xfId="4493" xr:uid="{00000000-0005-0000-0000-000004120000}"/>
    <cellStyle name="Normal 8 11 2 2 2_Adjusted bridges" xfId="11161" xr:uid="{0AD31368-EF6B-4E37-988F-1C14B3262A88}"/>
    <cellStyle name="Normal 8 11 2 2 3" xfId="4494" xr:uid="{00000000-0005-0000-0000-000006120000}"/>
    <cellStyle name="Normal 8 11 2 2 3 2" xfId="4495" xr:uid="{00000000-0005-0000-0000-000007120000}"/>
    <cellStyle name="Normal 8 11 2 2 3 3" xfId="4496" xr:uid="{00000000-0005-0000-0000-000008120000}"/>
    <cellStyle name="Normal 8 11 2 2 3_Adjusted bridges" xfId="11162" xr:uid="{E9658122-DE2C-4918-BE6F-4A9568F400C5}"/>
    <cellStyle name="Normal 8 11 2 2 4" xfId="4497" xr:uid="{00000000-0005-0000-0000-00000A120000}"/>
    <cellStyle name="Normal 8 11 2 2 5" xfId="4498" xr:uid="{00000000-0005-0000-0000-00000B120000}"/>
    <cellStyle name="Normal 8 11 2 2_Adjusted bridges" xfId="11160" xr:uid="{BD3F3754-7A9B-471A-85E6-E5827E354DC2}"/>
    <cellStyle name="Normal 8 11 2 3" xfId="4499" xr:uid="{00000000-0005-0000-0000-00000D120000}"/>
    <cellStyle name="Normal 8 11 2 3 2" xfId="4500" xr:uid="{00000000-0005-0000-0000-00000E120000}"/>
    <cellStyle name="Normal 8 11 2 3 3" xfId="4501" xr:uid="{00000000-0005-0000-0000-00000F120000}"/>
    <cellStyle name="Normal 8 11 2 3_Adjusted bridges" xfId="11163" xr:uid="{95E3C6A1-32D2-4E47-A879-23BDD49ECC8F}"/>
    <cellStyle name="Normal 8 11 2 4" xfId="4502" xr:uid="{00000000-0005-0000-0000-000011120000}"/>
    <cellStyle name="Normal 8 11 2 4 2" xfId="4503" xr:uid="{00000000-0005-0000-0000-000012120000}"/>
    <cellStyle name="Normal 8 11 2 4 3" xfId="4504" xr:uid="{00000000-0005-0000-0000-000013120000}"/>
    <cellStyle name="Normal 8 11 2 4_Adjusted bridges" xfId="11164" xr:uid="{4D85B7A6-193F-42DD-83A6-7A5E6EFC2BAF}"/>
    <cellStyle name="Normal 8 11 2 5" xfId="4505" xr:uid="{00000000-0005-0000-0000-000015120000}"/>
    <cellStyle name="Normal 8 11 2 6" xfId="4506" xr:uid="{00000000-0005-0000-0000-000016120000}"/>
    <cellStyle name="Normal 8 11 2_Adjusted bridges" xfId="11159" xr:uid="{4406830D-BE77-444D-ACDC-28D0E27B475F}"/>
    <cellStyle name="Normal 8 11 3" xfId="4507" xr:uid="{00000000-0005-0000-0000-000018120000}"/>
    <cellStyle name="Normal 8 11 3 2" xfId="4508" xr:uid="{00000000-0005-0000-0000-000019120000}"/>
    <cellStyle name="Normal 8 11 3 2 2" xfId="4509" xr:uid="{00000000-0005-0000-0000-00001A120000}"/>
    <cellStyle name="Normal 8 11 3 2 3" xfId="4510" xr:uid="{00000000-0005-0000-0000-00001B120000}"/>
    <cellStyle name="Normal 8 11 3 2_Adjusted bridges" xfId="11166" xr:uid="{D960AE5D-1095-43FE-B053-7797388EC4C7}"/>
    <cellStyle name="Normal 8 11 3 3" xfId="4511" xr:uid="{00000000-0005-0000-0000-00001D120000}"/>
    <cellStyle name="Normal 8 11 3 3 2" xfId="4512" xr:uid="{00000000-0005-0000-0000-00001E120000}"/>
    <cellStyle name="Normal 8 11 3 3 3" xfId="4513" xr:uid="{00000000-0005-0000-0000-00001F120000}"/>
    <cellStyle name="Normal 8 11 3 3_Adjusted bridges" xfId="11167" xr:uid="{C90D2872-B596-4E22-BA25-2CC97A774EF2}"/>
    <cellStyle name="Normal 8 11 3 4" xfId="4514" xr:uid="{00000000-0005-0000-0000-000021120000}"/>
    <cellStyle name="Normal 8 11 3 5" xfId="4515" xr:uid="{00000000-0005-0000-0000-000022120000}"/>
    <cellStyle name="Normal 8 11 3_Adjusted bridges" xfId="11165" xr:uid="{47825A09-FAAF-4139-B32D-6147B43F98FC}"/>
    <cellStyle name="Normal 8 11 4" xfId="4516" xr:uid="{00000000-0005-0000-0000-000024120000}"/>
    <cellStyle name="Normal 8 11 4 2" xfId="4517" xr:uid="{00000000-0005-0000-0000-000025120000}"/>
    <cellStyle name="Normal 8 11 4 3" xfId="4518" xr:uid="{00000000-0005-0000-0000-000026120000}"/>
    <cellStyle name="Normal 8 11 4_Adjusted bridges" xfId="11168" xr:uid="{29349F48-C331-47A3-ACC8-3846F1661F05}"/>
    <cellStyle name="Normal 8 11 5" xfId="4519" xr:uid="{00000000-0005-0000-0000-000028120000}"/>
    <cellStyle name="Normal 8 11 5 2" xfId="4520" xr:uid="{00000000-0005-0000-0000-000029120000}"/>
    <cellStyle name="Normal 8 11 5 3" xfId="4521" xr:uid="{00000000-0005-0000-0000-00002A120000}"/>
    <cellStyle name="Normal 8 11 5_Adjusted bridges" xfId="11169" xr:uid="{91F19211-B91A-4B7D-A4F1-D3FD1DA3CC5B}"/>
    <cellStyle name="Normal 8 11 6" xfId="4522" xr:uid="{00000000-0005-0000-0000-00002C120000}"/>
    <cellStyle name="Normal 8 11 7" xfId="4523" xr:uid="{00000000-0005-0000-0000-00002D120000}"/>
    <cellStyle name="Normal 8 11_Adjusted bridges" xfId="11158" xr:uid="{5778D968-69B7-42B3-802F-92D5596D8AD0}"/>
    <cellStyle name="Normal 8 12" xfId="4524" xr:uid="{00000000-0005-0000-0000-00002F120000}"/>
    <cellStyle name="Normal 8 12 2" xfId="4525" xr:uid="{00000000-0005-0000-0000-000030120000}"/>
    <cellStyle name="Normal 8 12 2 2" xfId="4526" xr:uid="{00000000-0005-0000-0000-000031120000}"/>
    <cellStyle name="Normal 8 12 2 2 2" xfId="4527" xr:uid="{00000000-0005-0000-0000-000032120000}"/>
    <cellStyle name="Normal 8 12 2 2 2 2" xfId="4528" xr:uid="{00000000-0005-0000-0000-000033120000}"/>
    <cellStyle name="Normal 8 12 2 2 2 3" xfId="4529" xr:uid="{00000000-0005-0000-0000-000034120000}"/>
    <cellStyle name="Normal 8 12 2 2 2_Adjusted bridges" xfId="11173" xr:uid="{4A3276E3-C9C3-4F93-BAFE-DE6272C7E27B}"/>
    <cellStyle name="Normal 8 12 2 2 3" xfId="4530" xr:uid="{00000000-0005-0000-0000-000036120000}"/>
    <cellStyle name="Normal 8 12 2 2 3 2" xfId="4531" xr:uid="{00000000-0005-0000-0000-000037120000}"/>
    <cellStyle name="Normal 8 12 2 2 3 3" xfId="4532" xr:uid="{00000000-0005-0000-0000-000038120000}"/>
    <cellStyle name="Normal 8 12 2 2 3_Adjusted bridges" xfId="11174" xr:uid="{0CC2E37C-8787-47C9-B9BB-7A3772B897F5}"/>
    <cellStyle name="Normal 8 12 2 2 4" xfId="4533" xr:uid="{00000000-0005-0000-0000-00003A120000}"/>
    <cellStyle name="Normal 8 12 2 2 5" xfId="4534" xr:uid="{00000000-0005-0000-0000-00003B120000}"/>
    <cellStyle name="Normal 8 12 2 2_Adjusted bridges" xfId="11172" xr:uid="{87D5737B-F834-4F5F-9A8F-A30A93D0450E}"/>
    <cellStyle name="Normal 8 12 2 3" xfId="4535" xr:uid="{00000000-0005-0000-0000-00003D120000}"/>
    <cellStyle name="Normal 8 12 2 3 2" xfId="4536" xr:uid="{00000000-0005-0000-0000-00003E120000}"/>
    <cellStyle name="Normal 8 12 2 3 3" xfId="4537" xr:uid="{00000000-0005-0000-0000-00003F120000}"/>
    <cellStyle name="Normal 8 12 2 3_Adjusted bridges" xfId="11175" xr:uid="{D5CD2E8F-9B4B-47EA-A9F5-97C07E0EAE57}"/>
    <cellStyle name="Normal 8 12 2 4" xfId="4538" xr:uid="{00000000-0005-0000-0000-000041120000}"/>
    <cellStyle name="Normal 8 12 2 4 2" xfId="4539" xr:uid="{00000000-0005-0000-0000-000042120000}"/>
    <cellStyle name="Normal 8 12 2 4 3" xfId="4540" xr:uid="{00000000-0005-0000-0000-000043120000}"/>
    <cellStyle name="Normal 8 12 2 4_Adjusted bridges" xfId="11176" xr:uid="{420A858D-C009-408A-A018-3ADC96A6E6EE}"/>
    <cellStyle name="Normal 8 12 2 5" xfId="4541" xr:uid="{00000000-0005-0000-0000-000045120000}"/>
    <cellStyle name="Normal 8 12 2 6" xfId="4542" xr:uid="{00000000-0005-0000-0000-000046120000}"/>
    <cellStyle name="Normal 8 12 2_Adjusted bridges" xfId="11171" xr:uid="{56AFCD59-E316-42BE-9128-1D27260BBA2E}"/>
    <cellStyle name="Normal 8 12 3" xfId="4543" xr:uid="{00000000-0005-0000-0000-000048120000}"/>
    <cellStyle name="Normal 8 12 3 2" xfId="4544" xr:uid="{00000000-0005-0000-0000-000049120000}"/>
    <cellStyle name="Normal 8 12 3 2 2" xfId="4545" xr:uid="{00000000-0005-0000-0000-00004A120000}"/>
    <cellStyle name="Normal 8 12 3 2 3" xfId="4546" xr:uid="{00000000-0005-0000-0000-00004B120000}"/>
    <cellStyle name="Normal 8 12 3 2_Adjusted bridges" xfId="11178" xr:uid="{A9297C2D-B57C-4C49-8349-FF8F8C50D774}"/>
    <cellStyle name="Normal 8 12 3 3" xfId="4547" xr:uid="{00000000-0005-0000-0000-00004D120000}"/>
    <cellStyle name="Normal 8 12 3 3 2" xfId="4548" xr:uid="{00000000-0005-0000-0000-00004E120000}"/>
    <cellStyle name="Normal 8 12 3 3 3" xfId="4549" xr:uid="{00000000-0005-0000-0000-00004F120000}"/>
    <cellStyle name="Normal 8 12 3 3_Adjusted bridges" xfId="11179" xr:uid="{3C14AD79-00D7-4C9E-89B0-EA034CAEB7B9}"/>
    <cellStyle name="Normal 8 12 3 4" xfId="4550" xr:uid="{00000000-0005-0000-0000-000051120000}"/>
    <cellStyle name="Normal 8 12 3 5" xfId="4551" xr:uid="{00000000-0005-0000-0000-000052120000}"/>
    <cellStyle name="Normal 8 12 3_Adjusted bridges" xfId="11177" xr:uid="{B17E4959-A49E-4098-B03A-CFA38A8641CF}"/>
    <cellStyle name="Normal 8 12 4" xfId="4552" xr:uid="{00000000-0005-0000-0000-000054120000}"/>
    <cellStyle name="Normal 8 12 4 2" xfId="4553" xr:uid="{00000000-0005-0000-0000-000055120000}"/>
    <cellStyle name="Normal 8 12 4 3" xfId="4554" xr:uid="{00000000-0005-0000-0000-000056120000}"/>
    <cellStyle name="Normal 8 12 4_Adjusted bridges" xfId="11180" xr:uid="{E9EA6C45-1A40-4934-823F-00C1B7233B56}"/>
    <cellStyle name="Normal 8 12 5" xfId="4555" xr:uid="{00000000-0005-0000-0000-000058120000}"/>
    <cellStyle name="Normal 8 12 5 2" xfId="4556" xr:uid="{00000000-0005-0000-0000-000059120000}"/>
    <cellStyle name="Normal 8 12 5 3" xfId="4557" xr:uid="{00000000-0005-0000-0000-00005A120000}"/>
    <cellStyle name="Normal 8 12 5_Adjusted bridges" xfId="11181" xr:uid="{532D6615-C0F3-47CA-BEAC-C3BF50DA91C1}"/>
    <cellStyle name="Normal 8 12 6" xfId="4558" xr:uid="{00000000-0005-0000-0000-00005C120000}"/>
    <cellStyle name="Normal 8 12 7" xfId="4559" xr:uid="{00000000-0005-0000-0000-00005D120000}"/>
    <cellStyle name="Normal 8 12_Adjusted bridges" xfId="11170" xr:uid="{5A7ED362-02CB-4453-8613-765141DF99F0}"/>
    <cellStyle name="Normal 8 13" xfId="4560" xr:uid="{00000000-0005-0000-0000-00005F120000}"/>
    <cellStyle name="Normal 8 13 2" xfId="4561" xr:uid="{00000000-0005-0000-0000-000060120000}"/>
    <cellStyle name="Normal 8 13 2 2" xfId="4562" xr:uid="{00000000-0005-0000-0000-000061120000}"/>
    <cellStyle name="Normal 8 13 2 2 2" xfId="4563" xr:uid="{00000000-0005-0000-0000-000062120000}"/>
    <cellStyle name="Normal 8 13 2 2 2 2" xfId="4564" xr:uid="{00000000-0005-0000-0000-000063120000}"/>
    <cellStyle name="Normal 8 13 2 2 2 3" xfId="4565" xr:uid="{00000000-0005-0000-0000-000064120000}"/>
    <cellStyle name="Normal 8 13 2 2 2_Adjusted bridges" xfId="11185" xr:uid="{EEF94E82-AD62-47E7-B5DF-D8245AC8EC59}"/>
    <cellStyle name="Normal 8 13 2 2 3" xfId="4566" xr:uid="{00000000-0005-0000-0000-000066120000}"/>
    <cellStyle name="Normal 8 13 2 2 3 2" xfId="4567" xr:uid="{00000000-0005-0000-0000-000067120000}"/>
    <cellStyle name="Normal 8 13 2 2 3 3" xfId="4568" xr:uid="{00000000-0005-0000-0000-000068120000}"/>
    <cellStyle name="Normal 8 13 2 2 3_Adjusted bridges" xfId="11186" xr:uid="{E4618D72-602E-4E11-A184-B8B082BE8764}"/>
    <cellStyle name="Normal 8 13 2 2 4" xfId="4569" xr:uid="{00000000-0005-0000-0000-00006A120000}"/>
    <cellStyle name="Normal 8 13 2 2 5" xfId="4570" xr:uid="{00000000-0005-0000-0000-00006B120000}"/>
    <cellStyle name="Normal 8 13 2 2_Adjusted bridges" xfId="11184" xr:uid="{B96F583F-1E3B-442A-A9F9-65B385ADEC7C}"/>
    <cellStyle name="Normal 8 13 2 3" xfId="4571" xr:uid="{00000000-0005-0000-0000-00006D120000}"/>
    <cellStyle name="Normal 8 13 2 3 2" xfId="4572" xr:uid="{00000000-0005-0000-0000-00006E120000}"/>
    <cellStyle name="Normal 8 13 2 3 3" xfId="4573" xr:uid="{00000000-0005-0000-0000-00006F120000}"/>
    <cellStyle name="Normal 8 13 2 3_Adjusted bridges" xfId="11187" xr:uid="{AB8E6856-60D9-43E3-9648-42C10699082A}"/>
    <cellStyle name="Normal 8 13 2 4" xfId="4574" xr:uid="{00000000-0005-0000-0000-000071120000}"/>
    <cellStyle name="Normal 8 13 2 4 2" xfId="4575" xr:uid="{00000000-0005-0000-0000-000072120000}"/>
    <cellStyle name="Normal 8 13 2 4 3" xfId="4576" xr:uid="{00000000-0005-0000-0000-000073120000}"/>
    <cellStyle name="Normal 8 13 2 4_Adjusted bridges" xfId="11188" xr:uid="{85084FB3-2A6C-44DF-8427-1C0EDA30DD4C}"/>
    <cellStyle name="Normal 8 13 2 5" xfId="4577" xr:uid="{00000000-0005-0000-0000-000075120000}"/>
    <cellStyle name="Normal 8 13 2 6" xfId="4578" xr:uid="{00000000-0005-0000-0000-000076120000}"/>
    <cellStyle name="Normal 8 13 2_Adjusted bridges" xfId="11183" xr:uid="{66F0433B-4AAB-4021-8376-501C6629E586}"/>
    <cellStyle name="Normal 8 13 3" xfId="4579" xr:uid="{00000000-0005-0000-0000-000078120000}"/>
    <cellStyle name="Normal 8 13 3 2" xfId="4580" xr:uid="{00000000-0005-0000-0000-000079120000}"/>
    <cellStyle name="Normal 8 13 3 2 2" xfId="4581" xr:uid="{00000000-0005-0000-0000-00007A120000}"/>
    <cellStyle name="Normal 8 13 3 2 3" xfId="4582" xr:uid="{00000000-0005-0000-0000-00007B120000}"/>
    <cellStyle name="Normal 8 13 3 2_Adjusted bridges" xfId="11190" xr:uid="{500049C6-02C7-4ECF-BE1A-DB895FDC5386}"/>
    <cellStyle name="Normal 8 13 3 3" xfId="4583" xr:uid="{00000000-0005-0000-0000-00007D120000}"/>
    <cellStyle name="Normal 8 13 3 3 2" xfId="4584" xr:uid="{00000000-0005-0000-0000-00007E120000}"/>
    <cellStyle name="Normal 8 13 3 3 3" xfId="4585" xr:uid="{00000000-0005-0000-0000-00007F120000}"/>
    <cellStyle name="Normal 8 13 3 3_Adjusted bridges" xfId="11191" xr:uid="{3A99CAF9-0E78-400B-AA82-FF918705E20B}"/>
    <cellStyle name="Normal 8 13 3 4" xfId="4586" xr:uid="{00000000-0005-0000-0000-000081120000}"/>
    <cellStyle name="Normal 8 13 3 5" xfId="4587" xr:uid="{00000000-0005-0000-0000-000082120000}"/>
    <cellStyle name="Normal 8 13 3_Adjusted bridges" xfId="11189" xr:uid="{1EF525A6-9E03-4299-BC0E-63B527993E4E}"/>
    <cellStyle name="Normal 8 13 4" xfId="4588" xr:uid="{00000000-0005-0000-0000-000084120000}"/>
    <cellStyle name="Normal 8 13 4 2" xfId="4589" xr:uid="{00000000-0005-0000-0000-000085120000}"/>
    <cellStyle name="Normal 8 13 4 3" xfId="4590" xr:uid="{00000000-0005-0000-0000-000086120000}"/>
    <cellStyle name="Normal 8 13 4_Adjusted bridges" xfId="11192" xr:uid="{AA2A58E8-4017-4C01-AEFF-AD957F94FDCC}"/>
    <cellStyle name="Normal 8 13 5" xfId="4591" xr:uid="{00000000-0005-0000-0000-000088120000}"/>
    <cellStyle name="Normal 8 13 5 2" xfId="4592" xr:uid="{00000000-0005-0000-0000-000089120000}"/>
    <cellStyle name="Normal 8 13 5 3" xfId="4593" xr:uid="{00000000-0005-0000-0000-00008A120000}"/>
    <cellStyle name="Normal 8 13 5_Adjusted bridges" xfId="11193" xr:uid="{40221E32-93AB-4754-A650-A7B3C0BEAD1A}"/>
    <cellStyle name="Normal 8 13 6" xfId="4594" xr:uid="{00000000-0005-0000-0000-00008C120000}"/>
    <cellStyle name="Normal 8 13 7" xfId="4595" xr:uid="{00000000-0005-0000-0000-00008D120000}"/>
    <cellStyle name="Normal 8 13_Adjusted bridges" xfId="11182" xr:uid="{B34E625E-BCA6-4158-B2D2-3B071CE6F492}"/>
    <cellStyle name="Normal 8 14" xfId="4596" xr:uid="{00000000-0005-0000-0000-00008F120000}"/>
    <cellStyle name="Normal 8 14 2" xfId="4597" xr:uid="{00000000-0005-0000-0000-000090120000}"/>
    <cellStyle name="Normal 8 14 2 2" xfId="4598" xr:uid="{00000000-0005-0000-0000-000091120000}"/>
    <cellStyle name="Normal 8 14 2 2 2" xfId="4599" xr:uid="{00000000-0005-0000-0000-000092120000}"/>
    <cellStyle name="Normal 8 14 2 2 2 2" xfId="4600" xr:uid="{00000000-0005-0000-0000-000093120000}"/>
    <cellStyle name="Normal 8 14 2 2 2 3" xfId="4601" xr:uid="{00000000-0005-0000-0000-000094120000}"/>
    <cellStyle name="Normal 8 14 2 2 2_Adjusted bridges" xfId="11197" xr:uid="{4882D99B-33F4-4780-8576-2660F3B9858C}"/>
    <cellStyle name="Normal 8 14 2 2 3" xfId="4602" xr:uid="{00000000-0005-0000-0000-000096120000}"/>
    <cellStyle name="Normal 8 14 2 2 3 2" xfId="4603" xr:uid="{00000000-0005-0000-0000-000097120000}"/>
    <cellStyle name="Normal 8 14 2 2 3 3" xfId="4604" xr:uid="{00000000-0005-0000-0000-000098120000}"/>
    <cellStyle name="Normal 8 14 2 2 3_Adjusted bridges" xfId="11198" xr:uid="{1F325582-DA1D-41B0-8670-4FC7112636CA}"/>
    <cellStyle name="Normal 8 14 2 2 4" xfId="4605" xr:uid="{00000000-0005-0000-0000-00009A120000}"/>
    <cellStyle name="Normal 8 14 2 2 5" xfId="4606" xr:uid="{00000000-0005-0000-0000-00009B120000}"/>
    <cellStyle name="Normal 8 14 2 2_Adjusted bridges" xfId="11196" xr:uid="{ABCB15AA-D589-4826-B877-2CA475F22597}"/>
    <cellStyle name="Normal 8 14 2 3" xfId="4607" xr:uid="{00000000-0005-0000-0000-00009D120000}"/>
    <cellStyle name="Normal 8 14 2 3 2" xfId="4608" xr:uid="{00000000-0005-0000-0000-00009E120000}"/>
    <cellStyle name="Normal 8 14 2 3 3" xfId="4609" xr:uid="{00000000-0005-0000-0000-00009F120000}"/>
    <cellStyle name="Normal 8 14 2 3_Adjusted bridges" xfId="11199" xr:uid="{29B27B83-0EF1-4DD7-96F4-B34929AA311F}"/>
    <cellStyle name="Normal 8 14 2 4" xfId="4610" xr:uid="{00000000-0005-0000-0000-0000A1120000}"/>
    <cellStyle name="Normal 8 14 2 4 2" xfId="4611" xr:uid="{00000000-0005-0000-0000-0000A2120000}"/>
    <cellStyle name="Normal 8 14 2 4 3" xfId="4612" xr:uid="{00000000-0005-0000-0000-0000A3120000}"/>
    <cellStyle name="Normal 8 14 2 4_Adjusted bridges" xfId="11200" xr:uid="{499705F9-D7DA-47A8-924A-ADC811189CA3}"/>
    <cellStyle name="Normal 8 14 2 5" xfId="4613" xr:uid="{00000000-0005-0000-0000-0000A5120000}"/>
    <cellStyle name="Normal 8 14 2 6" xfId="4614" xr:uid="{00000000-0005-0000-0000-0000A6120000}"/>
    <cellStyle name="Normal 8 14 2_Adjusted bridges" xfId="11195" xr:uid="{0C5C78A8-F7DD-4A16-811C-1CB4A70F3A36}"/>
    <cellStyle name="Normal 8 14 3" xfId="4615" xr:uid="{00000000-0005-0000-0000-0000A8120000}"/>
    <cellStyle name="Normal 8 14 3 2" xfId="4616" xr:uid="{00000000-0005-0000-0000-0000A9120000}"/>
    <cellStyle name="Normal 8 14 3 2 2" xfId="4617" xr:uid="{00000000-0005-0000-0000-0000AA120000}"/>
    <cellStyle name="Normal 8 14 3 2 3" xfId="4618" xr:uid="{00000000-0005-0000-0000-0000AB120000}"/>
    <cellStyle name="Normal 8 14 3 2_Adjusted bridges" xfId="11202" xr:uid="{DC25BCAF-DD26-4C20-8265-AC242C859E8F}"/>
    <cellStyle name="Normal 8 14 3 3" xfId="4619" xr:uid="{00000000-0005-0000-0000-0000AD120000}"/>
    <cellStyle name="Normal 8 14 3 3 2" xfId="4620" xr:uid="{00000000-0005-0000-0000-0000AE120000}"/>
    <cellStyle name="Normal 8 14 3 3 3" xfId="4621" xr:uid="{00000000-0005-0000-0000-0000AF120000}"/>
    <cellStyle name="Normal 8 14 3 3_Adjusted bridges" xfId="11203" xr:uid="{40669092-AA4D-413F-80E5-7BFBCE71ADAF}"/>
    <cellStyle name="Normal 8 14 3 4" xfId="4622" xr:uid="{00000000-0005-0000-0000-0000B1120000}"/>
    <cellStyle name="Normal 8 14 3 5" xfId="4623" xr:uid="{00000000-0005-0000-0000-0000B2120000}"/>
    <cellStyle name="Normal 8 14 3_Adjusted bridges" xfId="11201" xr:uid="{CB66A89F-23D5-4B54-B6BE-B5677252DB99}"/>
    <cellStyle name="Normal 8 14 4" xfId="4624" xr:uid="{00000000-0005-0000-0000-0000B4120000}"/>
    <cellStyle name="Normal 8 14 4 2" xfId="4625" xr:uid="{00000000-0005-0000-0000-0000B5120000}"/>
    <cellStyle name="Normal 8 14 4 3" xfId="4626" xr:uid="{00000000-0005-0000-0000-0000B6120000}"/>
    <cellStyle name="Normal 8 14 4_Adjusted bridges" xfId="11204" xr:uid="{B9836887-32EC-4D18-A55F-324E55D20ED6}"/>
    <cellStyle name="Normal 8 14 5" xfId="4627" xr:uid="{00000000-0005-0000-0000-0000B8120000}"/>
    <cellStyle name="Normal 8 14 5 2" xfId="4628" xr:uid="{00000000-0005-0000-0000-0000B9120000}"/>
    <cellStyle name="Normal 8 14 5 3" xfId="4629" xr:uid="{00000000-0005-0000-0000-0000BA120000}"/>
    <cellStyle name="Normal 8 14 5_Adjusted bridges" xfId="11205" xr:uid="{B656B964-2C2D-444E-9133-3D65EC37C5BF}"/>
    <cellStyle name="Normal 8 14 6" xfId="4630" xr:uid="{00000000-0005-0000-0000-0000BC120000}"/>
    <cellStyle name="Normal 8 14 7" xfId="4631" xr:uid="{00000000-0005-0000-0000-0000BD120000}"/>
    <cellStyle name="Normal 8 14_Adjusted bridges" xfId="11194" xr:uid="{3233ABEA-C976-45C9-A96C-3D4617038A7F}"/>
    <cellStyle name="Normal 8 15" xfId="4632" xr:uid="{00000000-0005-0000-0000-0000BF120000}"/>
    <cellStyle name="Normal 8 15 2" xfId="4633" xr:uid="{00000000-0005-0000-0000-0000C0120000}"/>
    <cellStyle name="Normal 8 15 2 2" xfId="4634" xr:uid="{00000000-0005-0000-0000-0000C1120000}"/>
    <cellStyle name="Normal 8 15 2 2 2" xfId="4635" xr:uid="{00000000-0005-0000-0000-0000C2120000}"/>
    <cellStyle name="Normal 8 15 2 2 2 2" xfId="4636" xr:uid="{00000000-0005-0000-0000-0000C3120000}"/>
    <cellStyle name="Normal 8 15 2 2 2 3" xfId="4637" xr:uid="{00000000-0005-0000-0000-0000C4120000}"/>
    <cellStyle name="Normal 8 15 2 2 2_Adjusted bridges" xfId="11209" xr:uid="{4E410BA4-FE3B-4817-A472-FC98E13C876F}"/>
    <cellStyle name="Normal 8 15 2 2 3" xfId="4638" xr:uid="{00000000-0005-0000-0000-0000C6120000}"/>
    <cellStyle name="Normal 8 15 2 2 3 2" xfId="4639" xr:uid="{00000000-0005-0000-0000-0000C7120000}"/>
    <cellStyle name="Normal 8 15 2 2 3 3" xfId="4640" xr:uid="{00000000-0005-0000-0000-0000C8120000}"/>
    <cellStyle name="Normal 8 15 2 2 3_Adjusted bridges" xfId="11210" xr:uid="{A6D3F36E-32AC-4F77-B9F8-FDC40A58AAC7}"/>
    <cellStyle name="Normal 8 15 2 2 4" xfId="4641" xr:uid="{00000000-0005-0000-0000-0000CA120000}"/>
    <cellStyle name="Normal 8 15 2 2 5" xfId="4642" xr:uid="{00000000-0005-0000-0000-0000CB120000}"/>
    <cellStyle name="Normal 8 15 2 2_Adjusted bridges" xfId="11208" xr:uid="{6B207DE3-B7C4-4712-B1E9-06BC3352F26A}"/>
    <cellStyle name="Normal 8 15 2 3" xfId="4643" xr:uid="{00000000-0005-0000-0000-0000CD120000}"/>
    <cellStyle name="Normal 8 15 2 3 2" xfId="4644" xr:uid="{00000000-0005-0000-0000-0000CE120000}"/>
    <cellStyle name="Normal 8 15 2 3 3" xfId="4645" xr:uid="{00000000-0005-0000-0000-0000CF120000}"/>
    <cellStyle name="Normal 8 15 2 3_Adjusted bridges" xfId="11211" xr:uid="{D83FB067-6FE9-400E-90A9-BE71DE77AC78}"/>
    <cellStyle name="Normal 8 15 2 4" xfId="4646" xr:uid="{00000000-0005-0000-0000-0000D1120000}"/>
    <cellStyle name="Normal 8 15 2 4 2" xfId="4647" xr:uid="{00000000-0005-0000-0000-0000D2120000}"/>
    <cellStyle name="Normal 8 15 2 4 3" xfId="4648" xr:uid="{00000000-0005-0000-0000-0000D3120000}"/>
    <cellStyle name="Normal 8 15 2 4_Adjusted bridges" xfId="11212" xr:uid="{F19A92DC-0867-48B1-801C-E096BDF56AF4}"/>
    <cellStyle name="Normal 8 15 2 5" xfId="4649" xr:uid="{00000000-0005-0000-0000-0000D5120000}"/>
    <cellStyle name="Normal 8 15 2 6" xfId="4650" xr:uid="{00000000-0005-0000-0000-0000D6120000}"/>
    <cellStyle name="Normal 8 15 2_Adjusted bridges" xfId="11207" xr:uid="{C46F8740-26D4-409A-A85B-4702606D7F2B}"/>
    <cellStyle name="Normal 8 15 3" xfId="4651" xr:uid="{00000000-0005-0000-0000-0000D8120000}"/>
    <cellStyle name="Normal 8 15 3 2" xfId="4652" xr:uid="{00000000-0005-0000-0000-0000D9120000}"/>
    <cellStyle name="Normal 8 15 3 2 2" xfId="4653" xr:uid="{00000000-0005-0000-0000-0000DA120000}"/>
    <cellStyle name="Normal 8 15 3 2 3" xfId="4654" xr:uid="{00000000-0005-0000-0000-0000DB120000}"/>
    <cellStyle name="Normal 8 15 3 2_Adjusted bridges" xfId="11214" xr:uid="{150AA95E-C257-4DD2-A89B-F0B969E3EBFE}"/>
    <cellStyle name="Normal 8 15 3 3" xfId="4655" xr:uid="{00000000-0005-0000-0000-0000DD120000}"/>
    <cellStyle name="Normal 8 15 3 3 2" xfId="4656" xr:uid="{00000000-0005-0000-0000-0000DE120000}"/>
    <cellStyle name="Normal 8 15 3 3 3" xfId="4657" xr:uid="{00000000-0005-0000-0000-0000DF120000}"/>
    <cellStyle name="Normal 8 15 3 3_Adjusted bridges" xfId="11215" xr:uid="{1FC02BEA-21D2-4ECC-8A87-E311904AA38B}"/>
    <cellStyle name="Normal 8 15 3 4" xfId="4658" xr:uid="{00000000-0005-0000-0000-0000E1120000}"/>
    <cellStyle name="Normal 8 15 3 5" xfId="4659" xr:uid="{00000000-0005-0000-0000-0000E2120000}"/>
    <cellStyle name="Normal 8 15 3_Adjusted bridges" xfId="11213" xr:uid="{655BD330-D665-4AB8-88E0-C69CF2C63256}"/>
    <cellStyle name="Normal 8 15 4" xfId="4660" xr:uid="{00000000-0005-0000-0000-0000E4120000}"/>
    <cellStyle name="Normal 8 15 4 2" xfId="4661" xr:uid="{00000000-0005-0000-0000-0000E5120000}"/>
    <cellStyle name="Normal 8 15 4 3" xfId="4662" xr:uid="{00000000-0005-0000-0000-0000E6120000}"/>
    <cellStyle name="Normal 8 15 4_Adjusted bridges" xfId="11216" xr:uid="{C2B79EBD-30D7-4870-8FD8-3B58AE3E8519}"/>
    <cellStyle name="Normal 8 15 5" xfId="4663" xr:uid="{00000000-0005-0000-0000-0000E8120000}"/>
    <cellStyle name="Normal 8 15 5 2" xfId="4664" xr:uid="{00000000-0005-0000-0000-0000E9120000}"/>
    <cellStyle name="Normal 8 15 5 3" xfId="4665" xr:uid="{00000000-0005-0000-0000-0000EA120000}"/>
    <cellStyle name="Normal 8 15 5_Adjusted bridges" xfId="11217" xr:uid="{F83AD03F-BACE-4AE1-B1C2-65B94BE1A601}"/>
    <cellStyle name="Normal 8 15 6" xfId="4666" xr:uid="{00000000-0005-0000-0000-0000EC120000}"/>
    <cellStyle name="Normal 8 15 7" xfId="4667" xr:uid="{00000000-0005-0000-0000-0000ED120000}"/>
    <cellStyle name="Normal 8 15_Adjusted bridges" xfId="11206" xr:uid="{A9ACB46C-1E7F-4357-912F-A22F06E9E23A}"/>
    <cellStyle name="Normal 8 16" xfId="4668" xr:uid="{00000000-0005-0000-0000-0000EF120000}"/>
    <cellStyle name="Normal 8 16 2" xfId="4669" xr:uid="{00000000-0005-0000-0000-0000F0120000}"/>
    <cellStyle name="Normal 8 16 2 2" xfId="4670" xr:uid="{00000000-0005-0000-0000-0000F1120000}"/>
    <cellStyle name="Normal 8 16 2 2 2" xfId="4671" xr:uid="{00000000-0005-0000-0000-0000F2120000}"/>
    <cellStyle name="Normal 8 16 2 2 2 2" xfId="4672" xr:uid="{00000000-0005-0000-0000-0000F3120000}"/>
    <cellStyle name="Normal 8 16 2 2 2 3" xfId="4673" xr:uid="{00000000-0005-0000-0000-0000F4120000}"/>
    <cellStyle name="Normal 8 16 2 2 2_Adjusted bridges" xfId="11221" xr:uid="{2409886C-4005-4278-8CDF-471BC1C0EB7B}"/>
    <cellStyle name="Normal 8 16 2 2 3" xfId="4674" xr:uid="{00000000-0005-0000-0000-0000F6120000}"/>
    <cellStyle name="Normal 8 16 2 2 3 2" xfId="4675" xr:uid="{00000000-0005-0000-0000-0000F7120000}"/>
    <cellStyle name="Normal 8 16 2 2 3 3" xfId="4676" xr:uid="{00000000-0005-0000-0000-0000F8120000}"/>
    <cellStyle name="Normal 8 16 2 2 3_Adjusted bridges" xfId="11222" xr:uid="{6D4C11E7-3FB1-4656-8717-E4DE88B03EBC}"/>
    <cellStyle name="Normal 8 16 2 2 4" xfId="4677" xr:uid="{00000000-0005-0000-0000-0000FA120000}"/>
    <cellStyle name="Normal 8 16 2 2 5" xfId="4678" xr:uid="{00000000-0005-0000-0000-0000FB120000}"/>
    <cellStyle name="Normal 8 16 2 2_Adjusted bridges" xfId="11220" xr:uid="{61F0D796-17E8-464F-89E7-E9633B8689EE}"/>
    <cellStyle name="Normal 8 16 2 3" xfId="4679" xr:uid="{00000000-0005-0000-0000-0000FD120000}"/>
    <cellStyle name="Normal 8 16 2 3 2" xfId="4680" xr:uid="{00000000-0005-0000-0000-0000FE120000}"/>
    <cellStyle name="Normal 8 16 2 3 3" xfId="4681" xr:uid="{00000000-0005-0000-0000-0000FF120000}"/>
    <cellStyle name="Normal 8 16 2 3_Adjusted bridges" xfId="11223" xr:uid="{1C3C8B77-18E9-4786-95E0-1CF09CB3D48D}"/>
    <cellStyle name="Normal 8 16 2 4" xfId="4682" xr:uid="{00000000-0005-0000-0000-000001130000}"/>
    <cellStyle name="Normal 8 16 2 4 2" xfId="4683" xr:uid="{00000000-0005-0000-0000-000002130000}"/>
    <cellStyle name="Normal 8 16 2 4 3" xfId="4684" xr:uid="{00000000-0005-0000-0000-000003130000}"/>
    <cellStyle name="Normal 8 16 2 4_Adjusted bridges" xfId="11224" xr:uid="{F536229D-3C4E-4897-83FE-D5B3D3FDBE1A}"/>
    <cellStyle name="Normal 8 16 2 5" xfId="4685" xr:uid="{00000000-0005-0000-0000-000005130000}"/>
    <cellStyle name="Normal 8 16 2 6" xfId="4686" xr:uid="{00000000-0005-0000-0000-000006130000}"/>
    <cellStyle name="Normal 8 16 2_Adjusted bridges" xfId="11219" xr:uid="{6D086588-302F-41E2-957D-0E499468F85F}"/>
    <cellStyle name="Normal 8 16 3" xfId="4687" xr:uid="{00000000-0005-0000-0000-000008130000}"/>
    <cellStyle name="Normal 8 16 3 2" xfId="4688" xr:uid="{00000000-0005-0000-0000-000009130000}"/>
    <cellStyle name="Normal 8 16 3 2 2" xfId="4689" xr:uid="{00000000-0005-0000-0000-00000A130000}"/>
    <cellStyle name="Normal 8 16 3 2 3" xfId="4690" xr:uid="{00000000-0005-0000-0000-00000B130000}"/>
    <cellStyle name="Normal 8 16 3 2_Adjusted bridges" xfId="11226" xr:uid="{FA6143CD-67FD-4F46-9174-1AC85B21A639}"/>
    <cellStyle name="Normal 8 16 3 3" xfId="4691" xr:uid="{00000000-0005-0000-0000-00000D130000}"/>
    <cellStyle name="Normal 8 16 3 3 2" xfId="4692" xr:uid="{00000000-0005-0000-0000-00000E130000}"/>
    <cellStyle name="Normal 8 16 3 3 3" xfId="4693" xr:uid="{00000000-0005-0000-0000-00000F130000}"/>
    <cellStyle name="Normal 8 16 3 3_Adjusted bridges" xfId="11227" xr:uid="{09577E42-7909-4F91-B90F-6E436C66B04B}"/>
    <cellStyle name="Normal 8 16 3 4" xfId="4694" xr:uid="{00000000-0005-0000-0000-000011130000}"/>
    <cellStyle name="Normal 8 16 3 5" xfId="4695" xr:uid="{00000000-0005-0000-0000-000012130000}"/>
    <cellStyle name="Normal 8 16 3_Adjusted bridges" xfId="11225" xr:uid="{BC2C7592-8424-4C53-8435-430609B863DD}"/>
    <cellStyle name="Normal 8 16 4" xfId="4696" xr:uid="{00000000-0005-0000-0000-000014130000}"/>
    <cellStyle name="Normal 8 16 4 2" xfId="4697" xr:uid="{00000000-0005-0000-0000-000015130000}"/>
    <cellStyle name="Normal 8 16 4 3" xfId="4698" xr:uid="{00000000-0005-0000-0000-000016130000}"/>
    <cellStyle name="Normal 8 16 4_Adjusted bridges" xfId="11228" xr:uid="{81585B99-8C9B-4683-85EF-CDC72DAEACBA}"/>
    <cellStyle name="Normal 8 16 5" xfId="4699" xr:uid="{00000000-0005-0000-0000-000018130000}"/>
    <cellStyle name="Normal 8 16 5 2" xfId="4700" xr:uid="{00000000-0005-0000-0000-000019130000}"/>
    <cellStyle name="Normal 8 16 5 3" xfId="4701" xr:uid="{00000000-0005-0000-0000-00001A130000}"/>
    <cellStyle name="Normal 8 16 5_Adjusted bridges" xfId="11229" xr:uid="{978728EE-F776-4B62-9611-3F5B023D5097}"/>
    <cellStyle name="Normal 8 16 6" xfId="4702" xr:uid="{00000000-0005-0000-0000-00001C130000}"/>
    <cellStyle name="Normal 8 16 7" xfId="4703" xr:uid="{00000000-0005-0000-0000-00001D130000}"/>
    <cellStyle name="Normal 8 16_Adjusted bridges" xfId="11218" xr:uid="{D8BA8745-4F1B-4774-B484-74661C1F51AD}"/>
    <cellStyle name="Normal 8 17" xfId="4704" xr:uid="{00000000-0005-0000-0000-00001F130000}"/>
    <cellStyle name="Normal 8 17 2" xfId="4705" xr:uid="{00000000-0005-0000-0000-000020130000}"/>
    <cellStyle name="Normal 8 17 2 2" xfId="4706" xr:uid="{00000000-0005-0000-0000-000021130000}"/>
    <cellStyle name="Normal 8 17 2 2 2" xfId="4707" xr:uid="{00000000-0005-0000-0000-000022130000}"/>
    <cellStyle name="Normal 8 17 2 2 2 2" xfId="4708" xr:uid="{00000000-0005-0000-0000-000023130000}"/>
    <cellStyle name="Normal 8 17 2 2 2 3" xfId="4709" xr:uid="{00000000-0005-0000-0000-000024130000}"/>
    <cellStyle name="Normal 8 17 2 2 2_Adjusted bridges" xfId="11233" xr:uid="{11873617-CFFC-4383-9CC5-42B922542335}"/>
    <cellStyle name="Normal 8 17 2 2 3" xfId="4710" xr:uid="{00000000-0005-0000-0000-000026130000}"/>
    <cellStyle name="Normal 8 17 2 2 3 2" xfId="4711" xr:uid="{00000000-0005-0000-0000-000027130000}"/>
    <cellStyle name="Normal 8 17 2 2 3 3" xfId="4712" xr:uid="{00000000-0005-0000-0000-000028130000}"/>
    <cellStyle name="Normal 8 17 2 2 3_Adjusted bridges" xfId="11234" xr:uid="{99101C1B-8965-45CD-A067-CDD6E60BBF0C}"/>
    <cellStyle name="Normal 8 17 2 2 4" xfId="4713" xr:uid="{00000000-0005-0000-0000-00002A130000}"/>
    <cellStyle name="Normal 8 17 2 2 5" xfId="4714" xr:uid="{00000000-0005-0000-0000-00002B130000}"/>
    <cellStyle name="Normal 8 17 2 2_Adjusted bridges" xfId="11232" xr:uid="{E8DE0B48-B2EA-4326-A5D4-605333629162}"/>
    <cellStyle name="Normal 8 17 2 3" xfId="4715" xr:uid="{00000000-0005-0000-0000-00002D130000}"/>
    <cellStyle name="Normal 8 17 2 3 2" xfId="4716" xr:uid="{00000000-0005-0000-0000-00002E130000}"/>
    <cellStyle name="Normal 8 17 2 3 3" xfId="4717" xr:uid="{00000000-0005-0000-0000-00002F130000}"/>
    <cellStyle name="Normal 8 17 2 3_Adjusted bridges" xfId="11235" xr:uid="{50F7D9FF-B05C-4B4F-9B21-288CCB617405}"/>
    <cellStyle name="Normal 8 17 2 4" xfId="4718" xr:uid="{00000000-0005-0000-0000-000031130000}"/>
    <cellStyle name="Normal 8 17 2 4 2" xfId="4719" xr:uid="{00000000-0005-0000-0000-000032130000}"/>
    <cellStyle name="Normal 8 17 2 4 3" xfId="4720" xr:uid="{00000000-0005-0000-0000-000033130000}"/>
    <cellStyle name="Normal 8 17 2 4_Adjusted bridges" xfId="11236" xr:uid="{39E43A9B-1736-4C4F-A6E3-78D3140B97F6}"/>
    <cellStyle name="Normal 8 17 2 5" xfId="4721" xr:uid="{00000000-0005-0000-0000-000035130000}"/>
    <cellStyle name="Normal 8 17 2 6" xfId="4722" xr:uid="{00000000-0005-0000-0000-000036130000}"/>
    <cellStyle name="Normal 8 17 2_Adjusted bridges" xfId="11231" xr:uid="{F61AC5E0-EE1F-4C33-B851-9B5B8A83A497}"/>
    <cellStyle name="Normal 8 17 3" xfId="4723" xr:uid="{00000000-0005-0000-0000-000038130000}"/>
    <cellStyle name="Normal 8 17 3 2" xfId="4724" xr:uid="{00000000-0005-0000-0000-000039130000}"/>
    <cellStyle name="Normal 8 17 3 2 2" xfId="4725" xr:uid="{00000000-0005-0000-0000-00003A130000}"/>
    <cellStyle name="Normal 8 17 3 2 3" xfId="4726" xr:uid="{00000000-0005-0000-0000-00003B130000}"/>
    <cellStyle name="Normal 8 17 3 2_Adjusted bridges" xfId="11238" xr:uid="{02632A15-A5B3-4191-B88A-7537EBECBE46}"/>
    <cellStyle name="Normal 8 17 3 3" xfId="4727" xr:uid="{00000000-0005-0000-0000-00003D130000}"/>
    <cellStyle name="Normal 8 17 3 3 2" xfId="4728" xr:uid="{00000000-0005-0000-0000-00003E130000}"/>
    <cellStyle name="Normal 8 17 3 3 3" xfId="4729" xr:uid="{00000000-0005-0000-0000-00003F130000}"/>
    <cellStyle name="Normal 8 17 3 3_Adjusted bridges" xfId="11239" xr:uid="{D1524271-0E40-4EBC-B1FD-A7868FDE0833}"/>
    <cellStyle name="Normal 8 17 3 4" xfId="4730" xr:uid="{00000000-0005-0000-0000-000041130000}"/>
    <cellStyle name="Normal 8 17 3 5" xfId="4731" xr:uid="{00000000-0005-0000-0000-000042130000}"/>
    <cellStyle name="Normal 8 17 3_Adjusted bridges" xfId="11237" xr:uid="{7D612A43-7041-4E0F-8CBD-53C663D59D2E}"/>
    <cellStyle name="Normal 8 17 4" xfId="4732" xr:uid="{00000000-0005-0000-0000-000044130000}"/>
    <cellStyle name="Normal 8 17 4 2" xfId="4733" xr:uid="{00000000-0005-0000-0000-000045130000}"/>
    <cellStyle name="Normal 8 17 4 3" xfId="4734" xr:uid="{00000000-0005-0000-0000-000046130000}"/>
    <cellStyle name="Normal 8 17 4_Adjusted bridges" xfId="11240" xr:uid="{12613FC2-B8D1-43C1-AE24-FB133F810663}"/>
    <cellStyle name="Normal 8 17 5" xfId="4735" xr:uid="{00000000-0005-0000-0000-000048130000}"/>
    <cellStyle name="Normal 8 17 5 2" xfId="4736" xr:uid="{00000000-0005-0000-0000-000049130000}"/>
    <cellStyle name="Normal 8 17 5 3" xfId="4737" xr:uid="{00000000-0005-0000-0000-00004A130000}"/>
    <cellStyle name="Normal 8 17 5_Adjusted bridges" xfId="11241" xr:uid="{FCAA1A11-5E94-4395-B9BD-90315DC880C8}"/>
    <cellStyle name="Normal 8 17 6" xfId="4738" xr:uid="{00000000-0005-0000-0000-00004C130000}"/>
    <cellStyle name="Normal 8 17 7" xfId="4739" xr:uid="{00000000-0005-0000-0000-00004D130000}"/>
    <cellStyle name="Normal 8 17_Adjusted bridges" xfId="11230" xr:uid="{ED8FBA7A-B02E-419A-8FCD-6487EDBF9FC1}"/>
    <cellStyle name="Normal 8 18" xfId="4740" xr:uid="{00000000-0005-0000-0000-00004F130000}"/>
    <cellStyle name="Normal 8 18 2" xfId="4741" xr:uid="{00000000-0005-0000-0000-000050130000}"/>
    <cellStyle name="Normal 8 18 2 2" xfId="4742" xr:uid="{00000000-0005-0000-0000-000051130000}"/>
    <cellStyle name="Normal 8 18 2 2 2" xfId="4743" xr:uid="{00000000-0005-0000-0000-000052130000}"/>
    <cellStyle name="Normal 8 18 2 2 2 2" xfId="4744" xr:uid="{00000000-0005-0000-0000-000053130000}"/>
    <cellStyle name="Normal 8 18 2 2 2 3" xfId="4745" xr:uid="{00000000-0005-0000-0000-000054130000}"/>
    <cellStyle name="Normal 8 18 2 2 2_Adjusted bridges" xfId="11245" xr:uid="{1D945C9A-9696-47BB-A790-95627DFEA7B1}"/>
    <cellStyle name="Normal 8 18 2 2 3" xfId="4746" xr:uid="{00000000-0005-0000-0000-000056130000}"/>
    <cellStyle name="Normal 8 18 2 2 3 2" xfId="4747" xr:uid="{00000000-0005-0000-0000-000057130000}"/>
    <cellStyle name="Normal 8 18 2 2 3 3" xfId="4748" xr:uid="{00000000-0005-0000-0000-000058130000}"/>
    <cellStyle name="Normal 8 18 2 2 3_Adjusted bridges" xfId="11246" xr:uid="{AE396344-B281-46EE-98E3-63B46E48D7BF}"/>
    <cellStyle name="Normal 8 18 2 2 4" xfId="4749" xr:uid="{00000000-0005-0000-0000-00005A130000}"/>
    <cellStyle name="Normal 8 18 2 2 5" xfId="4750" xr:uid="{00000000-0005-0000-0000-00005B130000}"/>
    <cellStyle name="Normal 8 18 2 2_Adjusted bridges" xfId="11244" xr:uid="{8A3644F0-0257-4593-BDD7-5708DEEF627B}"/>
    <cellStyle name="Normal 8 18 2 3" xfId="4751" xr:uid="{00000000-0005-0000-0000-00005D130000}"/>
    <cellStyle name="Normal 8 18 2 3 2" xfId="4752" xr:uid="{00000000-0005-0000-0000-00005E130000}"/>
    <cellStyle name="Normal 8 18 2 3 3" xfId="4753" xr:uid="{00000000-0005-0000-0000-00005F130000}"/>
    <cellStyle name="Normal 8 18 2 3_Adjusted bridges" xfId="11247" xr:uid="{5DAE2D85-5194-4BFB-BE15-1A715B269226}"/>
    <cellStyle name="Normal 8 18 2 4" xfId="4754" xr:uid="{00000000-0005-0000-0000-000061130000}"/>
    <cellStyle name="Normal 8 18 2 4 2" xfId="4755" xr:uid="{00000000-0005-0000-0000-000062130000}"/>
    <cellStyle name="Normal 8 18 2 4 3" xfId="4756" xr:uid="{00000000-0005-0000-0000-000063130000}"/>
    <cellStyle name="Normal 8 18 2 4_Adjusted bridges" xfId="11248" xr:uid="{AC407A44-539A-4852-AC3A-C067E87808E7}"/>
    <cellStyle name="Normal 8 18 2 5" xfId="4757" xr:uid="{00000000-0005-0000-0000-000065130000}"/>
    <cellStyle name="Normal 8 18 2 6" xfId="4758" xr:uid="{00000000-0005-0000-0000-000066130000}"/>
    <cellStyle name="Normal 8 18 2_Adjusted bridges" xfId="11243" xr:uid="{783BAA64-33D8-4C5B-8121-619C62540699}"/>
    <cellStyle name="Normal 8 18 3" xfId="4759" xr:uid="{00000000-0005-0000-0000-000068130000}"/>
    <cellStyle name="Normal 8 18 3 2" xfId="4760" xr:uid="{00000000-0005-0000-0000-000069130000}"/>
    <cellStyle name="Normal 8 18 3 2 2" xfId="4761" xr:uid="{00000000-0005-0000-0000-00006A130000}"/>
    <cellStyle name="Normal 8 18 3 2 3" xfId="4762" xr:uid="{00000000-0005-0000-0000-00006B130000}"/>
    <cellStyle name="Normal 8 18 3 2_Adjusted bridges" xfId="11250" xr:uid="{EA79D001-098C-4309-B9BD-508D079DA51C}"/>
    <cellStyle name="Normal 8 18 3 3" xfId="4763" xr:uid="{00000000-0005-0000-0000-00006D130000}"/>
    <cellStyle name="Normal 8 18 3 3 2" xfId="4764" xr:uid="{00000000-0005-0000-0000-00006E130000}"/>
    <cellStyle name="Normal 8 18 3 3 3" xfId="4765" xr:uid="{00000000-0005-0000-0000-00006F130000}"/>
    <cellStyle name="Normal 8 18 3 3_Adjusted bridges" xfId="11251" xr:uid="{6CDCB609-6006-4F65-9635-D68EA09C708A}"/>
    <cellStyle name="Normal 8 18 3 4" xfId="4766" xr:uid="{00000000-0005-0000-0000-000071130000}"/>
    <cellStyle name="Normal 8 18 3 5" xfId="4767" xr:uid="{00000000-0005-0000-0000-000072130000}"/>
    <cellStyle name="Normal 8 18 3_Adjusted bridges" xfId="11249" xr:uid="{1D9A1731-E9E8-4252-9315-67B5AAE20409}"/>
    <cellStyle name="Normal 8 18 4" xfId="4768" xr:uid="{00000000-0005-0000-0000-000074130000}"/>
    <cellStyle name="Normal 8 18 4 2" xfId="4769" xr:uid="{00000000-0005-0000-0000-000075130000}"/>
    <cellStyle name="Normal 8 18 4 3" xfId="4770" xr:uid="{00000000-0005-0000-0000-000076130000}"/>
    <cellStyle name="Normal 8 18 4_Adjusted bridges" xfId="11252" xr:uid="{2D980BF4-B71C-4504-92F6-0B5BB7180986}"/>
    <cellStyle name="Normal 8 18 5" xfId="4771" xr:uid="{00000000-0005-0000-0000-000078130000}"/>
    <cellStyle name="Normal 8 18 5 2" xfId="4772" xr:uid="{00000000-0005-0000-0000-000079130000}"/>
    <cellStyle name="Normal 8 18 5 3" xfId="4773" xr:uid="{00000000-0005-0000-0000-00007A130000}"/>
    <cellStyle name="Normal 8 18 5_Adjusted bridges" xfId="11253" xr:uid="{D5CF60F0-E870-44BF-83B1-98481C0F68DA}"/>
    <cellStyle name="Normal 8 18 6" xfId="4774" xr:uid="{00000000-0005-0000-0000-00007C130000}"/>
    <cellStyle name="Normal 8 18 7" xfId="4775" xr:uid="{00000000-0005-0000-0000-00007D130000}"/>
    <cellStyle name="Normal 8 18_Adjusted bridges" xfId="11242" xr:uid="{DFD1AEBF-8136-4DB7-9A48-F00AC5982465}"/>
    <cellStyle name="Normal 8 19" xfId="4776" xr:uid="{00000000-0005-0000-0000-00007F130000}"/>
    <cellStyle name="Normal 8 19 2" xfId="4777" xr:uid="{00000000-0005-0000-0000-000080130000}"/>
    <cellStyle name="Normal 8 19 2 2" xfId="4778" xr:uid="{00000000-0005-0000-0000-000081130000}"/>
    <cellStyle name="Normal 8 19 2 2 2" xfId="4779" xr:uid="{00000000-0005-0000-0000-000082130000}"/>
    <cellStyle name="Normal 8 19 2 2 2 2" xfId="4780" xr:uid="{00000000-0005-0000-0000-000083130000}"/>
    <cellStyle name="Normal 8 19 2 2 2 3" xfId="4781" xr:uid="{00000000-0005-0000-0000-000084130000}"/>
    <cellStyle name="Normal 8 19 2 2 2_Adjusted bridges" xfId="11257" xr:uid="{B4293294-B36B-482F-AAE8-B1FAECE2C3CC}"/>
    <cellStyle name="Normal 8 19 2 2 3" xfId="4782" xr:uid="{00000000-0005-0000-0000-000086130000}"/>
    <cellStyle name="Normal 8 19 2 2 3 2" xfId="4783" xr:uid="{00000000-0005-0000-0000-000087130000}"/>
    <cellStyle name="Normal 8 19 2 2 3 3" xfId="4784" xr:uid="{00000000-0005-0000-0000-000088130000}"/>
    <cellStyle name="Normal 8 19 2 2 3_Adjusted bridges" xfId="11258" xr:uid="{86B1A9A1-022D-486B-820E-8DDF32074789}"/>
    <cellStyle name="Normal 8 19 2 2 4" xfId="4785" xr:uid="{00000000-0005-0000-0000-00008A130000}"/>
    <cellStyle name="Normal 8 19 2 2 5" xfId="4786" xr:uid="{00000000-0005-0000-0000-00008B130000}"/>
    <cellStyle name="Normal 8 19 2 2_Adjusted bridges" xfId="11256" xr:uid="{A7C66F0A-88F1-47C1-8D37-D3EDBBB06627}"/>
    <cellStyle name="Normal 8 19 2 3" xfId="4787" xr:uid="{00000000-0005-0000-0000-00008D130000}"/>
    <cellStyle name="Normal 8 19 2 3 2" xfId="4788" xr:uid="{00000000-0005-0000-0000-00008E130000}"/>
    <cellStyle name="Normal 8 19 2 3 3" xfId="4789" xr:uid="{00000000-0005-0000-0000-00008F130000}"/>
    <cellStyle name="Normal 8 19 2 3_Adjusted bridges" xfId="11259" xr:uid="{6724F19A-425A-4F91-B1C0-D91C9403DDE6}"/>
    <cellStyle name="Normal 8 19 2 4" xfId="4790" xr:uid="{00000000-0005-0000-0000-000091130000}"/>
    <cellStyle name="Normal 8 19 2 4 2" xfId="4791" xr:uid="{00000000-0005-0000-0000-000092130000}"/>
    <cellStyle name="Normal 8 19 2 4 3" xfId="4792" xr:uid="{00000000-0005-0000-0000-000093130000}"/>
    <cellStyle name="Normal 8 19 2 4_Adjusted bridges" xfId="11260" xr:uid="{6D0505BE-98C2-444E-91F7-EF4D773673DF}"/>
    <cellStyle name="Normal 8 19 2 5" xfId="4793" xr:uid="{00000000-0005-0000-0000-000095130000}"/>
    <cellStyle name="Normal 8 19 2 6" xfId="4794" xr:uid="{00000000-0005-0000-0000-000096130000}"/>
    <cellStyle name="Normal 8 19 2_Adjusted bridges" xfId="11255" xr:uid="{51756CF3-7FF0-4670-B908-2427665FB00D}"/>
    <cellStyle name="Normal 8 19 3" xfId="4795" xr:uid="{00000000-0005-0000-0000-000098130000}"/>
    <cellStyle name="Normal 8 19 3 2" xfId="4796" xr:uid="{00000000-0005-0000-0000-000099130000}"/>
    <cellStyle name="Normal 8 19 3 2 2" xfId="4797" xr:uid="{00000000-0005-0000-0000-00009A130000}"/>
    <cellStyle name="Normal 8 19 3 2 3" xfId="4798" xr:uid="{00000000-0005-0000-0000-00009B130000}"/>
    <cellStyle name="Normal 8 19 3 2_Adjusted bridges" xfId="11262" xr:uid="{AA698C2D-1E2B-4524-8C19-75E5192D7BE1}"/>
    <cellStyle name="Normal 8 19 3 3" xfId="4799" xr:uid="{00000000-0005-0000-0000-00009D130000}"/>
    <cellStyle name="Normal 8 19 3 3 2" xfId="4800" xr:uid="{00000000-0005-0000-0000-00009E130000}"/>
    <cellStyle name="Normal 8 19 3 3 3" xfId="4801" xr:uid="{00000000-0005-0000-0000-00009F130000}"/>
    <cellStyle name="Normal 8 19 3 3_Adjusted bridges" xfId="11263" xr:uid="{733DC17C-8EF6-421C-9A3F-2A0CF8B06BEE}"/>
    <cellStyle name="Normal 8 19 3 4" xfId="4802" xr:uid="{00000000-0005-0000-0000-0000A1130000}"/>
    <cellStyle name="Normal 8 19 3 5" xfId="4803" xr:uid="{00000000-0005-0000-0000-0000A2130000}"/>
    <cellStyle name="Normal 8 19 3_Adjusted bridges" xfId="11261" xr:uid="{57806A11-0B62-436F-BBFE-1852F2504E97}"/>
    <cellStyle name="Normal 8 19 4" xfId="4804" xr:uid="{00000000-0005-0000-0000-0000A4130000}"/>
    <cellStyle name="Normal 8 19 4 2" xfId="4805" xr:uid="{00000000-0005-0000-0000-0000A5130000}"/>
    <cellStyle name="Normal 8 19 4 3" xfId="4806" xr:uid="{00000000-0005-0000-0000-0000A6130000}"/>
    <cellStyle name="Normal 8 19 4_Adjusted bridges" xfId="11264" xr:uid="{81494CB2-7B33-49D2-9B9F-B4E65323B18C}"/>
    <cellStyle name="Normal 8 19 5" xfId="4807" xr:uid="{00000000-0005-0000-0000-0000A8130000}"/>
    <cellStyle name="Normal 8 19 5 2" xfId="4808" xr:uid="{00000000-0005-0000-0000-0000A9130000}"/>
    <cellStyle name="Normal 8 19 5 3" xfId="4809" xr:uid="{00000000-0005-0000-0000-0000AA130000}"/>
    <cellStyle name="Normal 8 19 5_Adjusted bridges" xfId="11265" xr:uid="{91ADD60B-CA45-41CE-A8E5-6D156CFF43F2}"/>
    <cellStyle name="Normal 8 19 6" xfId="4810" xr:uid="{00000000-0005-0000-0000-0000AC130000}"/>
    <cellStyle name="Normal 8 19 7" xfId="4811" xr:uid="{00000000-0005-0000-0000-0000AD130000}"/>
    <cellStyle name="Normal 8 19_Adjusted bridges" xfId="11254" xr:uid="{A3077E2D-50F4-48F8-BE8E-97DBCD339510}"/>
    <cellStyle name="Normal 8 2" xfId="355" xr:uid="{00000000-0005-0000-0000-0000AF130000}"/>
    <cellStyle name="Normal 8 2 10" xfId="4812" xr:uid="{00000000-0005-0000-0000-0000B0130000}"/>
    <cellStyle name="Normal 8 2 10 2" xfId="4813" xr:uid="{00000000-0005-0000-0000-0000B1130000}"/>
    <cellStyle name="Normal 8 2 10 3" xfId="4814" xr:uid="{00000000-0005-0000-0000-0000B2130000}"/>
    <cellStyle name="Normal 8 2 10_Adjusted bridges" xfId="11266" xr:uid="{1E701EDD-64D0-45C1-9404-B62542291C1D}"/>
    <cellStyle name="Normal 8 2 11" xfId="4815" xr:uid="{00000000-0005-0000-0000-0000B4130000}"/>
    <cellStyle name="Normal 8 2 12" xfId="4816" xr:uid="{00000000-0005-0000-0000-0000B5130000}"/>
    <cellStyle name="Normal 8 2 2" xfId="4817" xr:uid="{00000000-0005-0000-0000-0000B6130000}"/>
    <cellStyle name="Normal 8 2 2 2" xfId="4818" xr:uid="{00000000-0005-0000-0000-0000B7130000}"/>
    <cellStyle name="Normal 8 2 2 2 2" xfId="4819" xr:uid="{00000000-0005-0000-0000-0000B8130000}"/>
    <cellStyle name="Normal 8 2 2 2 2 2" xfId="4820" xr:uid="{00000000-0005-0000-0000-0000B9130000}"/>
    <cellStyle name="Normal 8 2 2 2 2 3" xfId="4821" xr:uid="{00000000-0005-0000-0000-0000BA130000}"/>
    <cellStyle name="Normal 8 2 2 2 2_Adjusted bridges" xfId="11268" xr:uid="{9E66769B-7FDC-4ECD-A4F6-05A7E3D6C03C}"/>
    <cellStyle name="Normal 8 2 2 2 3" xfId="4822" xr:uid="{00000000-0005-0000-0000-0000BC130000}"/>
    <cellStyle name="Normal 8 2 2 2 3 2" xfId="4823" xr:uid="{00000000-0005-0000-0000-0000BD130000}"/>
    <cellStyle name="Normal 8 2 2 2 3 3" xfId="4824" xr:uid="{00000000-0005-0000-0000-0000BE130000}"/>
    <cellStyle name="Normal 8 2 2 2 3_Adjusted bridges" xfId="11269" xr:uid="{C3A15DD0-A13D-460E-A338-40DF57749B28}"/>
    <cellStyle name="Normal 8 2 2 2 4" xfId="4825" xr:uid="{00000000-0005-0000-0000-0000C0130000}"/>
    <cellStyle name="Normal 8 2 2 2 5" xfId="4826" xr:uid="{00000000-0005-0000-0000-0000C1130000}"/>
    <cellStyle name="Normal 8 2 2 2_Adjusted bridges" xfId="11267" xr:uid="{D36CE205-0CB0-452C-ADDE-79C5C1C8CB37}"/>
    <cellStyle name="Normal 8 2 2 3" xfId="4827" xr:uid="{00000000-0005-0000-0000-0000C3130000}"/>
    <cellStyle name="Normal 8 2 2 3 2" xfId="4828" xr:uid="{00000000-0005-0000-0000-0000C4130000}"/>
    <cellStyle name="Normal 8 2 2 3 3" xfId="4829" xr:uid="{00000000-0005-0000-0000-0000C5130000}"/>
    <cellStyle name="Normal 8 2 2 3_Adjusted bridges" xfId="11270" xr:uid="{4F8CC2A1-6833-4709-A308-CE1F9BC404E0}"/>
    <cellStyle name="Normal 8 2 2 4" xfId="4830" xr:uid="{00000000-0005-0000-0000-0000C7130000}"/>
    <cellStyle name="Normal 8 2 2 4 2" xfId="4831" xr:uid="{00000000-0005-0000-0000-0000C8130000}"/>
    <cellStyle name="Normal 8 2 2 4 3" xfId="4832" xr:uid="{00000000-0005-0000-0000-0000C9130000}"/>
    <cellStyle name="Normal 8 2 2 4_Adjusted bridges" xfId="11271" xr:uid="{2E397EBE-252F-4AF3-AB35-CFDFC363BD00}"/>
    <cellStyle name="Normal 8 2 2 5" xfId="4833" xr:uid="{00000000-0005-0000-0000-0000CB130000}"/>
    <cellStyle name="Normal 8 2 2 6" xfId="4834" xr:uid="{00000000-0005-0000-0000-0000CC130000}"/>
    <cellStyle name="Normal 8 2 2_1 KeyFig" xfId="4835" xr:uid="{00000000-0005-0000-0000-0000CD130000}"/>
    <cellStyle name="Normal 8 2 3" xfId="4836" xr:uid="{00000000-0005-0000-0000-0000CE130000}"/>
    <cellStyle name="Normal 8 2 3 2" xfId="4837" xr:uid="{00000000-0005-0000-0000-0000CF130000}"/>
    <cellStyle name="Normal 8 2 3 2 2" xfId="4838" xr:uid="{00000000-0005-0000-0000-0000D0130000}"/>
    <cellStyle name="Normal 8 2 3 2 2 2" xfId="4839" xr:uid="{00000000-0005-0000-0000-0000D1130000}"/>
    <cellStyle name="Normal 8 2 3 2 2 3" xfId="4840" xr:uid="{00000000-0005-0000-0000-0000D2130000}"/>
    <cellStyle name="Normal 8 2 3 2 2_Adjusted bridges" xfId="11273" xr:uid="{31A74201-FAE8-4BC9-AA0B-AC4AF8DC4D57}"/>
    <cellStyle name="Normal 8 2 3 2 3" xfId="4841" xr:uid="{00000000-0005-0000-0000-0000D4130000}"/>
    <cellStyle name="Normal 8 2 3 2 3 2" xfId="4842" xr:uid="{00000000-0005-0000-0000-0000D5130000}"/>
    <cellStyle name="Normal 8 2 3 2 3 3" xfId="4843" xr:uid="{00000000-0005-0000-0000-0000D6130000}"/>
    <cellStyle name="Normal 8 2 3 2 3_Adjusted bridges" xfId="11274" xr:uid="{C9A8DC42-224D-402B-9708-4182F4A590DC}"/>
    <cellStyle name="Normal 8 2 3 2 4" xfId="4844" xr:uid="{00000000-0005-0000-0000-0000D8130000}"/>
    <cellStyle name="Normal 8 2 3 2 5" xfId="4845" xr:uid="{00000000-0005-0000-0000-0000D9130000}"/>
    <cellStyle name="Normal 8 2 3 2_Adjusted bridges" xfId="11272" xr:uid="{57F7423B-93E4-4BE6-9D99-CF50D6CAD440}"/>
    <cellStyle name="Normal 8 2 3 3" xfId="4846" xr:uid="{00000000-0005-0000-0000-0000DB130000}"/>
    <cellStyle name="Normal 8 2 3 3 2" xfId="4847" xr:uid="{00000000-0005-0000-0000-0000DC130000}"/>
    <cellStyle name="Normal 8 2 3 3 3" xfId="4848" xr:uid="{00000000-0005-0000-0000-0000DD130000}"/>
    <cellStyle name="Normal 8 2 3 3_Adjusted bridges" xfId="11275" xr:uid="{47A293AD-833E-4D9D-B9A1-63D29148DDE0}"/>
    <cellStyle name="Normal 8 2 3 4" xfId="4849" xr:uid="{00000000-0005-0000-0000-0000DF130000}"/>
    <cellStyle name="Normal 8 2 3 4 2" xfId="4850" xr:uid="{00000000-0005-0000-0000-0000E0130000}"/>
    <cellStyle name="Normal 8 2 3 4 3" xfId="4851" xr:uid="{00000000-0005-0000-0000-0000E1130000}"/>
    <cellStyle name="Normal 8 2 3 4_Adjusted bridges" xfId="11276" xr:uid="{44F2EC97-58CA-4868-896C-6A7BE7401FD7}"/>
    <cellStyle name="Normal 8 2 3 5" xfId="4852" xr:uid="{00000000-0005-0000-0000-0000E3130000}"/>
    <cellStyle name="Normal 8 2 3 6" xfId="4853" xr:uid="{00000000-0005-0000-0000-0000E4130000}"/>
    <cellStyle name="Normal 8 2 3_1 KeyFig" xfId="4854" xr:uid="{00000000-0005-0000-0000-0000E5130000}"/>
    <cellStyle name="Normal 8 2 4" xfId="4855" xr:uid="{00000000-0005-0000-0000-0000E6130000}"/>
    <cellStyle name="Normal 8 2 4 2" xfId="4856" xr:uid="{00000000-0005-0000-0000-0000E7130000}"/>
    <cellStyle name="Normal 8 2 4 2 2" xfId="4857" xr:uid="{00000000-0005-0000-0000-0000E8130000}"/>
    <cellStyle name="Normal 8 2 4 2 2 2" xfId="4858" xr:uid="{00000000-0005-0000-0000-0000E9130000}"/>
    <cellStyle name="Normal 8 2 4 2 2 3" xfId="4859" xr:uid="{00000000-0005-0000-0000-0000EA130000}"/>
    <cellStyle name="Normal 8 2 4 2 2_Adjusted bridges" xfId="11278" xr:uid="{A634E9BE-98A0-4144-929E-C4C197245615}"/>
    <cellStyle name="Normal 8 2 4 2 3" xfId="4860" xr:uid="{00000000-0005-0000-0000-0000EC130000}"/>
    <cellStyle name="Normal 8 2 4 2 3 2" xfId="4861" xr:uid="{00000000-0005-0000-0000-0000ED130000}"/>
    <cellStyle name="Normal 8 2 4 2 3 3" xfId="4862" xr:uid="{00000000-0005-0000-0000-0000EE130000}"/>
    <cellStyle name="Normal 8 2 4 2 3_Adjusted bridges" xfId="11279" xr:uid="{C998FB34-0FD9-4568-B297-C8BCDCEBBBE7}"/>
    <cellStyle name="Normal 8 2 4 2 4" xfId="4863" xr:uid="{00000000-0005-0000-0000-0000F0130000}"/>
    <cellStyle name="Normal 8 2 4 2 5" xfId="4864" xr:uid="{00000000-0005-0000-0000-0000F1130000}"/>
    <cellStyle name="Normal 8 2 4 2_Adjusted bridges" xfId="11277" xr:uid="{A152E00F-40E8-43FA-899D-DDCBED4E2240}"/>
    <cellStyle name="Normal 8 2 4 3" xfId="4865" xr:uid="{00000000-0005-0000-0000-0000F3130000}"/>
    <cellStyle name="Normal 8 2 4 3 2" xfId="4866" xr:uid="{00000000-0005-0000-0000-0000F4130000}"/>
    <cellStyle name="Normal 8 2 4 3 3" xfId="4867" xr:uid="{00000000-0005-0000-0000-0000F5130000}"/>
    <cellStyle name="Normal 8 2 4 3_Adjusted bridges" xfId="11280" xr:uid="{761E68E9-EADA-427B-B0BF-0EBFAF3F31B1}"/>
    <cellStyle name="Normal 8 2 4 4" xfId="4868" xr:uid="{00000000-0005-0000-0000-0000F7130000}"/>
    <cellStyle name="Normal 8 2 4 4 2" xfId="4869" xr:uid="{00000000-0005-0000-0000-0000F8130000}"/>
    <cellStyle name="Normal 8 2 4 4 3" xfId="4870" xr:uid="{00000000-0005-0000-0000-0000F9130000}"/>
    <cellStyle name="Normal 8 2 4 4_Adjusted bridges" xfId="11281" xr:uid="{44C39E86-829D-4215-9B73-AF58570F09F9}"/>
    <cellStyle name="Normal 8 2 4 5" xfId="4871" xr:uid="{00000000-0005-0000-0000-0000FB130000}"/>
    <cellStyle name="Normal 8 2 4 6" xfId="4872" xr:uid="{00000000-0005-0000-0000-0000FC130000}"/>
    <cellStyle name="Normal 8 2 4_1 KeyFig" xfId="4873" xr:uid="{00000000-0005-0000-0000-0000FD130000}"/>
    <cellStyle name="Normal 8 2 5" xfId="4874" xr:uid="{00000000-0005-0000-0000-0000FE130000}"/>
    <cellStyle name="Normal 8 2 5 2" xfId="4875" xr:uid="{00000000-0005-0000-0000-0000FF130000}"/>
    <cellStyle name="Normal 8 2 5 2 2" xfId="4876" xr:uid="{00000000-0005-0000-0000-000000140000}"/>
    <cellStyle name="Normal 8 2 5 2 2 2" xfId="4877" xr:uid="{00000000-0005-0000-0000-000001140000}"/>
    <cellStyle name="Normal 8 2 5 2 2 3" xfId="4878" xr:uid="{00000000-0005-0000-0000-000002140000}"/>
    <cellStyle name="Normal 8 2 5 2 2_Adjusted bridges" xfId="11283" xr:uid="{578FF107-62AA-4495-938E-CDB69379C78D}"/>
    <cellStyle name="Normal 8 2 5 2 3" xfId="4879" xr:uid="{00000000-0005-0000-0000-000004140000}"/>
    <cellStyle name="Normal 8 2 5 2 3 2" xfId="4880" xr:uid="{00000000-0005-0000-0000-000005140000}"/>
    <cellStyle name="Normal 8 2 5 2 3 3" xfId="4881" xr:uid="{00000000-0005-0000-0000-000006140000}"/>
    <cellStyle name="Normal 8 2 5 2 3_Adjusted bridges" xfId="11284" xr:uid="{62C5E24F-2F43-488D-9F11-562EA208DC62}"/>
    <cellStyle name="Normal 8 2 5 2 4" xfId="4882" xr:uid="{00000000-0005-0000-0000-000008140000}"/>
    <cellStyle name="Normal 8 2 5 2 5" xfId="4883" xr:uid="{00000000-0005-0000-0000-000009140000}"/>
    <cellStyle name="Normal 8 2 5 2_Adjusted bridges" xfId="11282" xr:uid="{392E1E91-01CD-461E-AD4A-488A801C3CBA}"/>
    <cellStyle name="Normal 8 2 5 3" xfId="4884" xr:uid="{00000000-0005-0000-0000-00000B140000}"/>
    <cellStyle name="Normal 8 2 5 3 2" xfId="4885" xr:uid="{00000000-0005-0000-0000-00000C140000}"/>
    <cellStyle name="Normal 8 2 5 3 3" xfId="4886" xr:uid="{00000000-0005-0000-0000-00000D140000}"/>
    <cellStyle name="Normal 8 2 5 3_Adjusted bridges" xfId="11285" xr:uid="{6878492F-F298-4402-82B1-B95FCA5C7C2F}"/>
    <cellStyle name="Normal 8 2 5 4" xfId="4887" xr:uid="{00000000-0005-0000-0000-00000F140000}"/>
    <cellStyle name="Normal 8 2 5 4 2" xfId="4888" xr:uid="{00000000-0005-0000-0000-000010140000}"/>
    <cellStyle name="Normal 8 2 5 4 3" xfId="4889" xr:uid="{00000000-0005-0000-0000-000011140000}"/>
    <cellStyle name="Normal 8 2 5 4_Adjusted bridges" xfId="11286" xr:uid="{0CC38427-0B1D-4662-8456-A69E186926E0}"/>
    <cellStyle name="Normal 8 2 5 5" xfId="4890" xr:uid="{00000000-0005-0000-0000-000013140000}"/>
    <cellStyle name="Normal 8 2 5 6" xfId="4891" xr:uid="{00000000-0005-0000-0000-000014140000}"/>
    <cellStyle name="Normal 8 2 5_1 KeyFig" xfId="4892" xr:uid="{00000000-0005-0000-0000-000015140000}"/>
    <cellStyle name="Normal 8 2 6" xfId="4893" xr:uid="{00000000-0005-0000-0000-000016140000}"/>
    <cellStyle name="Normal 8 2 6 2" xfId="4894" xr:uid="{00000000-0005-0000-0000-000017140000}"/>
    <cellStyle name="Normal 8 2 6 2 2" xfId="4895" xr:uid="{00000000-0005-0000-0000-000018140000}"/>
    <cellStyle name="Normal 8 2 6 2 2 2" xfId="4896" xr:uid="{00000000-0005-0000-0000-000019140000}"/>
    <cellStyle name="Normal 8 2 6 2 2 3" xfId="4897" xr:uid="{00000000-0005-0000-0000-00001A140000}"/>
    <cellStyle name="Normal 8 2 6 2 2_Adjusted bridges" xfId="11289" xr:uid="{1032ADE6-FB78-453F-ADF9-31CE3179879D}"/>
    <cellStyle name="Normal 8 2 6 2 3" xfId="4898" xr:uid="{00000000-0005-0000-0000-00001C140000}"/>
    <cellStyle name="Normal 8 2 6 2 3 2" xfId="4899" xr:uid="{00000000-0005-0000-0000-00001D140000}"/>
    <cellStyle name="Normal 8 2 6 2 3 3" xfId="4900" xr:uid="{00000000-0005-0000-0000-00001E140000}"/>
    <cellStyle name="Normal 8 2 6 2 3_Adjusted bridges" xfId="11290" xr:uid="{A390FCC7-C79F-4BFF-955B-C21AA64A4364}"/>
    <cellStyle name="Normal 8 2 6 2 4" xfId="4901" xr:uid="{00000000-0005-0000-0000-000020140000}"/>
    <cellStyle name="Normal 8 2 6 2 5" xfId="4902" xr:uid="{00000000-0005-0000-0000-000021140000}"/>
    <cellStyle name="Normal 8 2 6 2_Adjusted bridges" xfId="11288" xr:uid="{126B069B-C44A-4B15-8F64-27853F6C6DC2}"/>
    <cellStyle name="Normal 8 2 6 3" xfId="4903" xr:uid="{00000000-0005-0000-0000-000023140000}"/>
    <cellStyle name="Normal 8 2 6 3 2" xfId="4904" xr:uid="{00000000-0005-0000-0000-000024140000}"/>
    <cellStyle name="Normal 8 2 6 3 3" xfId="4905" xr:uid="{00000000-0005-0000-0000-000025140000}"/>
    <cellStyle name="Normal 8 2 6 3_Adjusted bridges" xfId="11291" xr:uid="{843583DF-0CD7-4CED-AB76-6DA6FEC66F04}"/>
    <cellStyle name="Normal 8 2 6 4" xfId="4906" xr:uid="{00000000-0005-0000-0000-000027140000}"/>
    <cellStyle name="Normal 8 2 6 4 2" xfId="4907" xr:uid="{00000000-0005-0000-0000-000028140000}"/>
    <cellStyle name="Normal 8 2 6 4 3" xfId="4908" xr:uid="{00000000-0005-0000-0000-000029140000}"/>
    <cellStyle name="Normal 8 2 6 4_Adjusted bridges" xfId="11292" xr:uid="{6F46236D-9F81-456F-89E1-4569B021C39D}"/>
    <cellStyle name="Normal 8 2 6 5" xfId="4909" xr:uid="{00000000-0005-0000-0000-00002B140000}"/>
    <cellStyle name="Normal 8 2 6 6" xfId="4910" xr:uid="{00000000-0005-0000-0000-00002C140000}"/>
    <cellStyle name="Normal 8 2 6_Adjusted bridges" xfId="11287" xr:uid="{BD6DC2B3-966D-4323-B93A-0A01049830BF}"/>
    <cellStyle name="Normal 8 2 7" xfId="4911" xr:uid="{00000000-0005-0000-0000-00002E140000}"/>
    <cellStyle name="Normal 8 2 7 2" xfId="4912" xr:uid="{00000000-0005-0000-0000-00002F140000}"/>
    <cellStyle name="Normal 8 2 7_Adjusted bridges" xfId="11293" xr:uid="{40A3C282-97C3-460C-86E7-9ADE88C7585B}"/>
    <cellStyle name="Normal 8 2 8" xfId="4913" xr:uid="{00000000-0005-0000-0000-000031140000}"/>
    <cellStyle name="Normal 8 2 8 2" xfId="4914" xr:uid="{00000000-0005-0000-0000-000032140000}"/>
    <cellStyle name="Normal 8 2 8 2 2" xfId="4915" xr:uid="{00000000-0005-0000-0000-000033140000}"/>
    <cellStyle name="Normal 8 2 8 2 3" xfId="4916" xr:uid="{00000000-0005-0000-0000-000034140000}"/>
    <cellStyle name="Normal 8 2 8 2_Adjusted bridges" xfId="11295" xr:uid="{27E91AE0-79E5-414C-8059-CA894C9E93E2}"/>
    <cellStyle name="Normal 8 2 8 3" xfId="4917" xr:uid="{00000000-0005-0000-0000-000036140000}"/>
    <cellStyle name="Normal 8 2 8 3 2" xfId="4918" xr:uid="{00000000-0005-0000-0000-000037140000}"/>
    <cellStyle name="Normal 8 2 8 3 3" xfId="4919" xr:uid="{00000000-0005-0000-0000-000038140000}"/>
    <cellStyle name="Normal 8 2 8 3_Adjusted bridges" xfId="11296" xr:uid="{0D581C9A-4D67-4B8D-824C-86402B83A646}"/>
    <cellStyle name="Normal 8 2 8 4" xfId="4920" xr:uid="{00000000-0005-0000-0000-00003A140000}"/>
    <cellStyle name="Normal 8 2 8 5" xfId="4921" xr:uid="{00000000-0005-0000-0000-00003B140000}"/>
    <cellStyle name="Normal 8 2 8_Adjusted bridges" xfId="11294" xr:uid="{6615096B-7674-47D8-B006-BDA970E8FA82}"/>
    <cellStyle name="Normal 8 2 9" xfId="4922" xr:uid="{00000000-0005-0000-0000-00003D140000}"/>
    <cellStyle name="Normal 8 2 9 2" xfId="4923" xr:uid="{00000000-0005-0000-0000-00003E140000}"/>
    <cellStyle name="Normal 8 2 9 3" xfId="4924" xr:uid="{00000000-0005-0000-0000-00003F140000}"/>
    <cellStyle name="Normal 8 2 9_Adjusted bridges" xfId="11297" xr:uid="{56F23846-CD72-459E-A30D-CC4E2E1DF574}"/>
    <cellStyle name="Normal 8 2_1 KeyFig" xfId="4925" xr:uid="{00000000-0005-0000-0000-000041140000}"/>
    <cellStyle name="Normal 8 20" xfId="4926" xr:uid="{00000000-0005-0000-0000-000042140000}"/>
    <cellStyle name="Normal 8 20 2" xfId="4927" xr:uid="{00000000-0005-0000-0000-000043140000}"/>
    <cellStyle name="Normal 8 20 2 2" xfId="4928" xr:uid="{00000000-0005-0000-0000-000044140000}"/>
    <cellStyle name="Normal 8 20 2 2 2" xfId="4929" xr:uid="{00000000-0005-0000-0000-000045140000}"/>
    <cellStyle name="Normal 8 20 2 2 2 2" xfId="4930" xr:uid="{00000000-0005-0000-0000-000046140000}"/>
    <cellStyle name="Normal 8 20 2 2 2 3" xfId="4931" xr:uid="{00000000-0005-0000-0000-000047140000}"/>
    <cellStyle name="Normal 8 20 2 2 2_Adjusted bridges" xfId="11301" xr:uid="{09C454F0-993D-413C-BE19-FD56B9B69E4E}"/>
    <cellStyle name="Normal 8 20 2 2 3" xfId="4932" xr:uid="{00000000-0005-0000-0000-000049140000}"/>
    <cellStyle name="Normal 8 20 2 2 3 2" xfId="4933" xr:uid="{00000000-0005-0000-0000-00004A140000}"/>
    <cellStyle name="Normal 8 20 2 2 3 3" xfId="4934" xr:uid="{00000000-0005-0000-0000-00004B140000}"/>
    <cellStyle name="Normal 8 20 2 2 3_Adjusted bridges" xfId="11302" xr:uid="{ED234D23-5AA2-4763-BCFB-29E90A22D946}"/>
    <cellStyle name="Normal 8 20 2 2 4" xfId="4935" xr:uid="{00000000-0005-0000-0000-00004D140000}"/>
    <cellStyle name="Normal 8 20 2 2 5" xfId="4936" xr:uid="{00000000-0005-0000-0000-00004E140000}"/>
    <cellStyle name="Normal 8 20 2 2_Adjusted bridges" xfId="11300" xr:uid="{7A70D475-1E43-4427-9D0C-369855BD752B}"/>
    <cellStyle name="Normal 8 20 2 3" xfId="4937" xr:uid="{00000000-0005-0000-0000-000050140000}"/>
    <cellStyle name="Normal 8 20 2 3 2" xfId="4938" xr:uid="{00000000-0005-0000-0000-000051140000}"/>
    <cellStyle name="Normal 8 20 2 3 3" xfId="4939" xr:uid="{00000000-0005-0000-0000-000052140000}"/>
    <cellStyle name="Normal 8 20 2 3_Adjusted bridges" xfId="11303" xr:uid="{31A160A3-01BE-479C-9170-FA25E3DD1E13}"/>
    <cellStyle name="Normal 8 20 2 4" xfId="4940" xr:uid="{00000000-0005-0000-0000-000054140000}"/>
    <cellStyle name="Normal 8 20 2 4 2" xfId="4941" xr:uid="{00000000-0005-0000-0000-000055140000}"/>
    <cellStyle name="Normal 8 20 2 4 3" xfId="4942" xr:uid="{00000000-0005-0000-0000-000056140000}"/>
    <cellStyle name="Normal 8 20 2 4_Adjusted bridges" xfId="11304" xr:uid="{E698B392-D386-4C17-B5B6-A536BBCBC818}"/>
    <cellStyle name="Normal 8 20 2 5" xfId="4943" xr:uid="{00000000-0005-0000-0000-000058140000}"/>
    <cellStyle name="Normal 8 20 2 6" xfId="4944" xr:uid="{00000000-0005-0000-0000-000059140000}"/>
    <cellStyle name="Normal 8 20 2_Adjusted bridges" xfId="11299" xr:uid="{DC5736F9-BDD8-4BF9-AE1A-F1270A5452FA}"/>
    <cellStyle name="Normal 8 20 3" xfId="4945" xr:uid="{00000000-0005-0000-0000-00005B140000}"/>
    <cellStyle name="Normal 8 20 3 2" xfId="4946" xr:uid="{00000000-0005-0000-0000-00005C140000}"/>
    <cellStyle name="Normal 8 20 3 2 2" xfId="4947" xr:uid="{00000000-0005-0000-0000-00005D140000}"/>
    <cellStyle name="Normal 8 20 3 2 3" xfId="4948" xr:uid="{00000000-0005-0000-0000-00005E140000}"/>
    <cellStyle name="Normal 8 20 3 2_Adjusted bridges" xfId="11306" xr:uid="{C3887E02-C5FE-4B56-B643-19315AE89F04}"/>
    <cellStyle name="Normal 8 20 3 3" xfId="4949" xr:uid="{00000000-0005-0000-0000-000060140000}"/>
    <cellStyle name="Normal 8 20 3 3 2" xfId="4950" xr:uid="{00000000-0005-0000-0000-000061140000}"/>
    <cellStyle name="Normal 8 20 3 3 3" xfId="4951" xr:uid="{00000000-0005-0000-0000-000062140000}"/>
    <cellStyle name="Normal 8 20 3 3_Adjusted bridges" xfId="11307" xr:uid="{E1538A53-E2CF-4771-8081-DCC8B46BECD8}"/>
    <cellStyle name="Normal 8 20 3 4" xfId="4952" xr:uid="{00000000-0005-0000-0000-000064140000}"/>
    <cellStyle name="Normal 8 20 3 5" xfId="4953" xr:uid="{00000000-0005-0000-0000-000065140000}"/>
    <cellStyle name="Normal 8 20 3_Adjusted bridges" xfId="11305" xr:uid="{D5C071A0-7198-45C5-96C0-1B2332F4C07F}"/>
    <cellStyle name="Normal 8 20 4" xfId="4954" xr:uid="{00000000-0005-0000-0000-000067140000}"/>
    <cellStyle name="Normal 8 20 4 2" xfId="4955" xr:uid="{00000000-0005-0000-0000-000068140000}"/>
    <cellStyle name="Normal 8 20 4 3" xfId="4956" xr:uid="{00000000-0005-0000-0000-000069140000}"/>
    <cellStyle name="Normal 8 20 4_Adjusted bridges" xfId="11308" xr:uid="{827E1F87-AD7F-4940-BDCC-D331458FCB68}"/>
    <cellStyle name="Normal 8 20 5" xfId="4957" xr:uid="{00000000-0005-0000-0000-00006B140000}"/>
    <cellStyle name="Normal 8 20 5 2" xfId="4958" xr:uid="{00000000-0005-0000-0000-00006C140000}"/>
    <cellStyle name="Normal 8 20 5 3" xfId="4959" xr:uid="{00000000-0005-0000-0000-00006D140000}"/>
    <cellStyle name="Normal 8 20 5_Adjusted bridges" xfId="11309" xr:uid="{0E2EE1DE-B46B-418C-BF3E-D45B522F07DE}"/>
    <cellStyle name="Normal 8 20 6" xfId="4960" xr:uid="{00000000-0005-0000-0000-00006F140000}"/>
    <cellStyle name="Normal 8 20 7" xfId="4961" xr:uid="{00000000-0005-0000-0000-000070140000}"/>
    <cellStyle name="Normal 8 20_Adjusted bridges" xfId="11298" xr:uid="{DC6405A2-FE4C-49C7-A7CF-F3262E24F71B}"/>
    <cellStyle name="Normal 8 21" xfId="4962" xr:uid="{00000000-0005-0000-0000-000072140000}"/>
    <cellStyle name="Normal 8 21 2" xfId="4963" xr:uid="{00000000-0005-0000-0000-000073140000}"/>
    <cellStyle name="Normal 8 21 2 2" xfId="4964" xr:uid="{00000000-0005-0000-0000-000074140000}"/>
    <cellStyle name="Normal 8 21 2 2 2" xfId="4965" xr:uid="{00000000-0005-0000-0000-000075140000}"/>
    <cellStyle name="Normal 8 21 2 2 2 2" xfId="4966" xr:uid="{00000000-0005-0000-0000-000076140000}"/>
    <cellStyle name="Normal 8 21 2 2 2 3" xfId="4967" xr:uid="{00000000-0005-0000-0000-000077140000}"/>
    <cellStyle name="Normal 8 21 2 2 2_Adjusted bridges" xfId="11313" xr:uid="{C3174DAB-C7BB-4C06-9CDE-F0A90CA088DB}"/>
    <cellStyle name="Normal 8 21 2 2 3" xfId="4968" xr:uid="{00000000-0005-0000-0000-000079140000}"/>
    <cellStyle name="Normal 8 21 2 2 3 2" xfId="4969" xr:uid="{00000000-0005-0000-0000-00007A140000}"/>
    <cellStyle name="Normal 8 21 2 2 3 3" xfId="4970" xr:uid="{00000000-0005-0000-0000-00007B140000}"/>
    <cellStyle name="Normal 8 21 2 2 3_Adjusted bridges" xfId="11314" xr:uid="{BFEBAE57-C566-45D8-9B93-AC2BF61A246F}"/>
    <cellStyle name="Normal 8 21 2 2 4" xfId="4971" xr:uid="{00000000-0005-0000-0000-00007D140000}"/>
    <cellStyle name="Normal 8 21 2 2 5" xfId="4972" xr:uid="{00000000-0005-0000-0000-00007E140000}"/>
    <cellStyle name="Normal 8 21 2 2_Adjusted bridges" xfId="11312" xr:uid="{5BDD6679-E9BF-4003-8FEA-52EC2F1601AF}"/>
    <cellStyle name="Normal 8 21 2 3" xfId="4973" xr:uid="{00000000-0005-0000-0000-000080140000}"/>
    <cellStyle name="Normal 8 21 2 3 2" xfId="4974" xr:uid="{00000000-0005-0000-0000-000081140000}"/>
    <cellStyle name="Normal 8 21 2 3 3" xfId="4975" xr:uid="{00000000-0005-0000-0000-000082140000}"/>
    <cellStyle name="Normal 8 21 2 3_Adjusted bridges" xfId="11315" xr:uid="{A7FE192D-79F5-4F45-9C06-24035BD78F7A}"/>
    <cellStyle name="Normal 8 21 2 4" xfId="4976" xr:uid="{00000000-0005-0000-0000-000084140000}"/>
    <cellStyle name="Normal 8 21 2 4 2" xfId="4977" xr:uid="{00000000-0005-0000-0000-000085140000}"/>
    <cellStyle name="Normal 8 21 2 4 3" xfId="4978" xr:uid="{00000000-0005-0000-0000-000086140000}"/>
    <cellStyle name="Normal 8 21 2 4_Adjusted bridges" xfId="11316" xr:uid="{69980EE9-4DB9-4F67-B813-3F3594F007FE}"/>
    <cellStyle name="Normal 8 21 2 5" xfId="4979" xr:uid="{00000000-0005-0000-0000-000088140000}"/>
    <cellStyle name="Normal 8 21 2 6" xfId="4980" xr:uid="{00000000-0005-0000-0000-000089140000}"/>
    <cellStyle name="Normal 8 21 2_Adjusted bridges" xfId="11311" xr:uid="{029DF9B6-CCB0-4E09-9D72-CCBACFB92A1C}"/>
    <cellStyle name="Normal 8 21 3" xfId="4981" xr:uid="{00000000-0005-0000-0000-00008B140000}"/>
    <cellStyle name="Normal 8 21 3 2" xfId="4982" xr:uid="{00000000-0005-0000-0000-00008C140000}"/>
    <cellStyle name="Normal 8 21 3 2 2" xfId="4983" xr:uid="{00000000-0005-0000-0000-00008D140000}"/>
    <cellStyle name="Normal 8 21 3 2 3" xfId="4984" xr:uid="{00000000-0005-0000-0000-00008E140000}"/>
    <cellStyle name="Normal 8 21 3 2_Adjusted bridges" xfId="11318" xr:uid="{D79FCBCF-A1CC-439A-90D7-9BE50A0132CC}"/>
    <cellStyle name="Normal 8 21 3 3" xfId="4985" xr:uid="{00000000-0005-0000-0000-000090140000}"/>
    <cellStyle name="Normal 8 21 3 3 2" xfId="4986" xr:uid="{00000000-0005-0000-0000-000091140000}"/>
    <cellStyle name="Normal 8 21 3 3 3" xfId="4987" xr:uid="{00000000-0005-0000-0000-000092140000}"/>
    <cellStyle name="Normal 8 21 3 3_Adjusted bridges" xfId="11319" xr:uid="{32ED1990-D1C4-487C-84AD-AD6BCD55DBFB}"/>
    <cellStyle name="Normal 8 21 3 4" xfId="4988" xr:uid="{00000000-0005-0000-0000-000094140000}"/>
    <cellStyle name="Normal 8 21 3 5" xfId="4989" xr:uid="{00000000-0005-0000-0000-000095140000}"/>
    <cellStyle name="Normal 8 21 3_Adjusted bridges" xfId="11317" xr:uid="{8A7B5F2F-6919-4C2D-8258-E5C8FDA322E2}"/>
    <cellStyle name="Normal 8 21 4" xfId="4990" xr:uid="{00000000-0005-0000-0000-000097140000}"/>
    <cellStyle name="Normal 8 21 4 2" xfId="4991" xr:uid="{00000000-0005-0000-0000-000098140000}"/>
    <cellStyle name="Normal 8 21 4 3" xfId="4992" xr:uid="{00000000-0005-0000-0000-000099140000}"/>
    <cellStyle name="Normal 8 21 4_Adjusted bridges" xfId="11320" xr:uid="{4274D592-7B7C-4693-8172-E6AE5005898E}"/>
    <cellStyle name="Normal 8 21 5" xfId="4993" xr:uid="{00000000-0005-0000-0000-00009B140000}"/>
    <cellStyle name="Normal 8 21 5 2" xfId="4994" xr:uid="{00000000-0005-0000-0000-00009C140000}"/>
    <cellStyle name="Normal 8 21 5 3" xfId="4995" xr:uid="{00000000-0005-0000-0000-00009D140000}"/>
    <cellStyle name="Normal 8 21 5_Adjusted bridges" xfId="11321" xr:uid="{2194B448-FF10-4898-B969-36F08488C3AB}"/>
    <cellStyle name="Normal 8 21 6" xfId="4996" xr:uid="{00000000-0005-0000-0000-00009F140000}"/>
    <cellStyle name="Normal 8 21 7" xfId="4997" xr:uid="{00000000-0005-0000-0000-0000A0140000}"/>
    <cellStyle name="Normal 8 21_Adjusted bridges" xfId="11310" xr:uid="{8D721894-9DE5-41E8-9374-FEE77B0324C8}"/>
    <cellStyle name="Normal 8 22" xfId="4998" xr:uid="{00000000-0005-0000-0000-0000A2140000}"/>
    <cellStyle name="Normal 8 22 2" xfId="4999" xr:uid="{00000000-0005-0000-0000-0000A3140000}"/>
    <cellStyle name="Normal 8 22 2 2" xfId="5000" xr:uid="{00000000-0005-0000-0000-0000A4140000}"/>
    <cellStyle name="Normal 8 22 2 2 2" xfId="5001" xr:uid="{00000000-0005-0000-0000-0000A5140000}"/>
    <cellStyle name="Normal 8 22 2 2 3" xfId="5002" xr:uid="{00000000-0005-0000-0000-0000A6140000}"/>
    <cellStyle name="Normal 8 22 2 2_Adjusted bridges" xfId="11324" xr:uid="{47974776-A3BC-4C3C-BC31-80EBDCE3EBFD}"/>
    <cellStyle name="Normal 8 22 2 3" xfId="5003" xr:uid="{00000000-0005-0000-0000-0000A8140000}"/>
    <cellStyle name="Normal 8 22 2 3 2" xfId="5004" xr:uid="{00000000-0005-0000-0000-0000A9140000}"/>
    <cellStyle name="Normal 8 22 2 3 3" xfId="5005" xr:uid="{00000000-0005-0000-0000-0000AA140000}"/>
    <cellStyle name="Normal 8 22 2 3_Adjusted bridges" xfId="11325" xr:uid="{E0006B03-F67A-4B37-9125-C1334C2F168E}"/>
    <cellStyle name="Normal 8 22 2 4" xfId="5006" xr:uid="{00000000-0005-0000-0000-0000AC140000}"/>
    <cellStyle name="Normal 8 22 2 5" xfId="5007" xr:uid="{00000000-0005-0000-0000-0000AD140000}"/>
    <cellStyle name="Normal 8 22 2_Adjusted bridges" xfId="11323" xr:uid="{A493E711-344A-4AAF-9627-7E91842CFDEF}"/>
    <cellStyle name="Normal 8 22 3" xfId="5008" xr:uid="{00000000-0005-0000-0000-0000AF140000}"/>
    <cellStyle name="Normal 8 22 3 2" xfId="5009" xr:uid="{00000000-0005-0000-0000-0000B0140000}"/>
    <cellStyle name="Normal 8 22 3 3" xfId="5010" xr:uid="{00000000-0005-0000-0000-0000B1140000}"/>
    <cellStyle name="Normal 8 22 3_Adjusted bridges" xfId="11326" xr:uid="{5C50800E-34B6-46F0-83F9-FB80E8D13E9D}"/>
    <cellStyle name="Normal 8 22 4" xfId="5011" xr:uid="{00000000-0005-0000-0000-0000B3140000}"/>
    <cellStyle name="Normal 8 22 4 2" xfId="5012" xr:uid="{00000000-0005-0000-0000-0000B4140000}"/>
    <cellStyle name="Normal 8 22 4 3" xfId="5013" xr:uid="{00000000-0005-0000-0000-0000B5140000}"/>
    <cellStyle name="Normal 8 22 4_Adjusted bridges" xfId="11327" xr:uid="{5324E6F8-D0DB-43C5-9860-7A4E49FE75CA}"/>
    <cellStyle name="Normal 8 22 5" xfId="5014" xr:uid="{00000000-0005-0000-0000-0000B7140000}"/>
    <cellStyle name="Normal 8 22 6" xfId="5015" xr:uid="{00000000-0005-0000-0000-0000B8140000}"/>
    <cellStyle name="Normal 8 22_Adjusted bridges" xfId="11322" xr:uid="{D5103CBF-7795-4F2C-A06D-A5C5A09519E8}"/>
    <cellStyle name="Normal 8 23" xfId="5016" xr:uid="{00000000-0005-0000-0000-0000BA140000}"/>
    <cellStyle name="Normal 8 23 2" xfId="5017" xr:uid="{00000000-0005-0000-0000-0000BB140000}"/>
    <cellStyle name="Normal 8 23 2 2" xfId="5018" xr:uid="{00000000-0005-0000-0000-0000BC140000}"/>
    <cellStyle name="Normal 8 23 2 2 2" xfId="5019" xr:uid="{00000000-0005-0000-0000-0000BD140000}"/>
    <cellStyle name="Normal 8 23 2 2 3" xfId="5020" xr:uid="{00000000-0005-0000-0000-0000BE140000}"/>
    <cellStyle name="Normal 8 23 2 2_Adjusted bridges" xfId="11330" xr:uid="{70D08A5E-DA04-4483-8164-A3738CBA7C12}"/>
    <cellStyle name="Normal 8 23 2 3" xfId="5021" xr:uid="{00000000-0005-0000-0000-0000C0140000}"/>
    <cellStyle name="Normal 8 23 2 3 2" xfId="5022" xr:uid="{00000000-0005-0000-0000-0000C1140000}"/>
    <cellStyle name="Normal 8 23 2 3 3" xfId="5023" xr:uid="{00000000-0005-0000-0000-0000C2140000}"/>
    <cellStyle name="Normal 8 23 2 3_Adjusted bridges" xfId="11331" xr:uid="{DD6E1417-5AF8-458E-A61A-35BE7C257782}"/>
    <cellStyle name="Normal 8 23 2 4" xfId="5024" xr:uid="{00000000-0005-0000-0000-0000C4140000}"/>
    <cellStyle name="Normal 8 23 2 5" xfId="5025" xr:uid="{00000000-0005-0000-0000-0000C5140000}"/>
    <cellStyle name="Normal 8 23 2_Adjusted bridges" xfId="11329" xr:uid="{D28935F9-E1BE-4260-8D07-DC1186777B07}"/>
    <cellStyle name="Normal 8 23 3" xfId="5026" xr:uid="{00000000-0005-0000-0000-0000C7140000}"/>
    <cellStyle name="Normal 8 23 3 2" xfId="5027" xr:uid="{00000000-0005-0000-0000-0000C8140000}"/>
    <cellStyle name="Normal 8 23 3 3" xfId="5028" xr:uid="{00000000-0005-0000-0000-0000C9140000}"/>
    <cellStyle name="Normal 8 23 3_Adjusted bridges" xfId="11332" xr:uid="{7D631F9D-62BD-469B-ABC4-945974A01207}"/>
    <cellStyle name="Normal 8 23 4" xfId="5029" xr:uid="{00000000-0005-0000-0000-0000CB140000}"/>
    <cellStyle name="Normal 8 23 4 2" xfId="5030" xr:uid="{00000000-0005-0000-0000-0000CC140000}"/>
    <cellStyle name="Normal 8 23 4 3" xfId="5031" xr:uid="{00000000-0005-0000-0000-0000CD140000}"/>
    <cellStyle name="Normal 8 23 4_Adjusted bridges" xfId="11333" xr:uid="{33D8FEF4-0252-4740-ACF9-1CAD4506EE3C}"/>
    <cellStyle name="Normal 8 23 5" xfId="5032" xr:uid="{00000000-0005-0000-0000-0000CF140000}"/>
    <cellStyle name="Normal 8 23 6" xfId="5033" xr:uid="{00000000-0005-0000-0000-0000D0140000}"/>
    <cellStyle name="Normal 8 23_Adjusted bridges" xfId="11328" xr:uid="{192FE96F-4F2B-4323-8A28-4A9E998CB1FD}"/>
    <cellStyle name="Normal 8 24" xfId="5034" xr:uid="{00000000-0005-0000-0000-0000D2140000}"/>
    <cellStyle name="Normal 8 24 2" xfId="5035" xr:uid="{00000000-0005-0000-0000-0000D3140000}"/>
    <cellStyle name="Normal 8 24 2 2" xfId="5036" xr:uid="{00000000-0005-0000-0000-0000D4140000}"/>
    <cellStyle name="Normal 8 24 2 2 2" xfId="5037" xr:uid="{00000000-0005-0000-0000-0000D5140000}"/>
    <cellStyle name="Normal 8 24 2 2 3" xfId="5038" xr:uid="{00000000-0005-0000-0000-0000D6140000}"/>
    <cellStyle name="Normal 8 24 2 2_Adjusted bridges" xfId="11336" xr:uid="{D9A1BC4B-366E-482E-812C-3A381B94C3ED}"/>
    <cellStyle name="Normal 8 24 2 3" xfId="5039" xr:uid="{00000000-0005-0000-0000-0000D8140000}"/>
    <cellStyle name="Normal 8 24 2 3 2" xfId="5040" xr:uid="{00000000-0005-0000-0000-0000D9140000}"/>
    <cellStyle name="Normal 8 24 2 3 3" xfId="5041" xr:uid="{00000000-0005-0000-0000-0000DA140000}"/>
    <cellStyle name="Normal 8 24 2 3_Adjusted bridges" xfId="11337" xr:uid="{51431DB4-8BA9-4E3F-8F92-61A02CCD4227}"/>
    <cellStyle name="Normal 8 24 2 4" xfId="5042" xr:uid="{00000000-0005-0000-0000-0000DC140000}"/>
    <cellStyle name="Normal 8 24 2 5" xfId="5043" xr:uid="{00000000-0005-0000-0000-0000DD140000}"/>
    <cellStyle name="Normal 8 24 2_Adjusted bridges" xfId="11335" xr:uid="{FADE3167-E123-4AEC-B44C-CAB3A366D513}"/>
    <cellStyle name="Normal 8 24 3" xfId="5044" xr:uid="{00000000-0005-0000-0000-0000DF140000}"/>
    <cellStyle name="Normal 8 24 3 2" xfId="5045" xr:uid="{00000000-0005-0000-0000-0000E0140000}"/>
    <cellStyle name="Normal 8 24 3 3" xfId="5046" xr:uid="{00000000-0005-0000-0000-0000E1140000}"/>
    <cellStyle name="Normal 8 24 3_Adjusted bridges" xfId="11338" xr:uid="{4F3EE48A-26AB-4071-9374-CF14D68FAA5B}"/>
    <cellStyle name="Normal 8 24 4" xfId="5047" xr:uid="{00000000-0005-0000-0000-0000E3140000}"/>
    <cellStyle name="Normal 8 24 4 2" xfId="5048" xr:uid="{00000000-0005-0000-0000-0000E4140000}"/>
    <cellStyle name="Normal 8 24 4 3" xfId="5049" xr:uid="{00000000-0005-0000-0000-0000E5140000}"/>
    <cellStyle name="Normal 8 24 4_Adjusted bridges" xfId="11339" xr:uid="{40C9911A-070B-4D14-836D-BFDF8F91EDFC}"/>
    <cellStyle name="Normal 8 24 5" xfId="5050" xr:uid="{00000000-0005-0000-0000-0000E7140000}"/>
    <cellStyle name="Normal 8 24 6" xfId="5051" xr:uid="{00000000-0005-0000-0000-0000E8140000}"/>
    <cellStyle name="Normal 8 24_Adjusted bridges" xfId="11334" xr:uid="{6B9CD6E7-512A-4C4B-816C-D369F1EB2EF2}"/>
    <cellStyle name="Normal 8 25" xfId="5052" xr:uid="{00000000-0005-0000-0000-0000EA140000}"/>
    <cellStyle name="Normal 8 25 2" xfId="5053" xr:uid="{00000000-0005-0000-0000-0000EB140000}"/>
    <cellStyle name="Normal 8 25 2 2" xfId="5054" xr:uid="{00000000-0005-0000-0000-0000EC140000}"/>
    <cellStyle name="Normal 8 25 2 2 2" xfId="5055" xr:uid="{00000000-0005-0000-0000-0000ED140000}"/>
    <cellStyle name="Normal 8 25 2 2 3" xfId="5056" xr:uid="{00000000-0005-0000-0000-0000EE140000}"/>
    <cellStyle name="Normal 8 25 2 2_Adjusted bridges" xfId="11342" xr:uid="{58396A3C-C96F-4CC0-8CD5-5CA03E4543AD}"/>
    <cellStyle name="Normal 8 25 2 3" xfId="5057" xr:uid="{00000000-0005-0000-0000-0000F0140000}"/>
    <cellStyle name="Normal 8 25 2 3 2" xfId="5058" xr:uid="{00000000-0005-0000-0000-0000F1140000}"/>
    <cellStyle name="Normal 8 25 2 3 3" xfId="5059" xr:uid="{00000000-0005-0000-0000-0000F2140000}"/>
    <cellStyle name="Normal 8 25 2 3_Adjusted bridges" xfId="11343" xr:uid="{8019766F-A86D-4593-8275-2B55F7694139}"/>
    <cellStyle name="Normal 8 25 2 4" xfId="5060" xr:uid="{00000000-0005-0000-0000-0000F4140000}"/>
    <cellStyle name="Normal 8 25 2 5" xfId="5061" xr:uid="{00000000-0005-0000-0000-0000F5140000}"/>
    <cellStyle name="Normal 8 25 2_Adjusted bridges" xfId="11341" xr:uid="{4A5B6C0C-2AB2-4F34-9F82-6AB3786472BB}"/>
    <cellStyle name="Normal 8 25 3" xfId="5062" xr:uid="{00000000-0005-0000-0000-0000F7140000}"/>
    <cellStyle name="Normal 8 25 3 2" xfId="5063" xr:uid="{00000000-0005-0000-0000-0000F8140000}"/>
    <cellStyle name="Normal 8 25 3 3" xfId="5064" xr:uid="{00000000-0005-0000-0000-0000F9140000}"/>
    <cellStyle name="Normal 8 25 3_Adjusted bridges" xfId="11344" xr:uid="{25A543F8-85F9-4DB1-B110-31A558F80C76}"/>
    <cellStyle name="Normal 8 25 4" xfId="5065" xr:uid="{00000000-0005-0000-0000-0000FB140000}"/>
    <cellStyle name="Normal 8 25 4 2" xfId="5066" xr:uid="{00000000-0005-0000-0000-0000FC140000}"/>
    <cellStyle name="Normal 8 25 4 3" xfId="5067" xr:uid="{00000000-0005-0000-0000-0000FD140000}"/>
    <cellStyle name="Normal 8 25 4_Adjusted bridges" xfId="11345" xr:uid="{63D16155-3974-4835-9445-D1FE2AE9157D}"/>
    <cellStyle name="Normal 8 25 5" xfId="5068" xr:uid="{00000000-0005-0000-0000-0000FF140000}"/>
    <cellStyle name="Normal 8 25 6" xfId="5069" xr:uid="{00000000-0005-0000-0000-000000150000}"/>
    <cellStyle name="Normal 8 25_Adjusted bridges" xfId="11340" xr:uid="{93AE5D98-0483-4EF1-80ED-D9D4881A11B2}"/>
    <cellStyle name="Normal 8 26" xfId="5070" xr:uid="{00000000-0005-0000-0000-000002150000}"/>
    <cellStyle name="Normal 8 26 2" xfId="5071" xr:uid="{00000000-0005-0000-0000-000003150000}"/>
    <cellStyle name="Normal 8 26 2 2" xfId="5072" xr:uid="{00000000-0005-0000-0000-000004150000}"/>
    <cellStyle name="Normal 8 26 2 2 2" xfId="5073" xr:uid="{00000000-0005-0000-0000-000005150000}"/>
    <cellStyle name="Normal 8 26 2 2 3" xfId="5074" xr:uid="{00000000-0005-0000-0000-000006150000}"/>
    <cellStyle name="Normal 8 26 2 2_Adjusted bridges" xfId="11348" xr:uid="{5D35730D-3C55-44AA-B675-27117E9C43F4}"/>
    <cellStyle name="Normal 8 26 2 3" xfId="5075" xr:uid="{00000000-0005-0000-0000-000008150000}"/>
    <cellStyle name="Normal 8 26 2 3 2" xfId="5076" xr:uid="{00000000-0005-0000-0000-000009150000}"/>
    <cellStyle name="Normal 8 26 2 3 3" xfId="5077" xr:uid="{00000000-0005-0000-0000-00000A150000}"/>
    <cellStyle name="Normal 8 26 2 3_Adjusted bridges" xfId="11349" xr:uid="{3358B3E3-433F-4CFD-BDB9-F88D3BFFA85A}"/>
    <cellStyle name="Normal 8 26 2 4" xfId="5078" xr:uid="{00000000-0005-0000-0000-00000C150000}"/>
    <cellStyle name="Normal 8 26 2 5" xfId="5079" xr:uid="{00000000-0005-0000-0000-00000D150000}"/>
    <cellStyle name="Normal 8 26 2_Adjusted bridges" xfId="11347" xr:uid="{0644EF9A-41D0-467E-8FA3-029DCE4F7E27}"/>
    <cellStyle name="Normal 8 26 3" xfId="5080" xr:uid="{00000000-0005-0000-0000-00000F150000}"/>
    <cellStyle name="Normal 8 26 3 2" xfId="5081" xr:uid="{00000000-0005-0000-0000-000010150000}"/>
    <cellStyle name="Normal 8 26 3 3" xfId="5082" xr:uid="{00000000-0005-0000-0000-000011150000}"/>
    <cellStyle name="Normal 8 26 3_Adjusted bridges" xfId="11350" xr:uid="{A56F06A9-01DC-4EB6-8289-1ADDE37EBBF2}"/>
    <cellStyle name="Normal 8 26 4" xfId="5083" xr:uid="{00000000-0005-0000-0000-000013150000}"/>
    <cellStyle name="Normal 8 26 4 2" xfId="5084" xr:uid="{00000000-0005-0000-0000-000014150000}"/>
    <cellStyle name="Normal 8 26 4 3" xfId="5085" xr:uid="{00000000-0005-0000-0000-000015150000}"/>
    <cellStyle name="Normal 8 26 4_Adjusted bridges" xfId="11351" xr:uid="{670168CF-70D3-4367-A87F-7BC5DB4AFC3B}"/>
    <cellStyle name="Normal 8 26 5" xfId="5086" xr:uid="{00000000-0005-0000-0000-000017150000}"/>
    <cellStyle name="Normal 8 26 6" xfId="5087" xr:uid="{00000000-0005-0000-0000-000018150000}"/>
    <cellStyle name="Normal 8 26_Adjusted bridges" xfId="11346" xr:uid="{8A77FFCB-1D94-4996-BCEB-FA6A71DB3D4F}"/>
    <cellStyle name="Normal 8 27" xfId="5088" xr:uid="{00000000-0005-0000-0000-00001A150000}"/>
    <cellStyle name="Normal 8 28" xfId="5089" xr:uid="{00000000-0005-0000-0000-00001B150000}"/>
    <cellStyle name="Normal 8 28 2" xfId="5090" xr:uid="{00000000-0005-0000-0000-00001C150000}"/>
    <cellStyle name="Normal 8 28 2 2" xfId="5091" xr:uid="{00000000-0005-0000-0000-00001D150000}"/>
    <cellStyle name="Normal 8 28 2 3" xfId="5092" xr:uid="{00000000-0005-0000-0000-00001E150000}"/>
    <cellStyle name="Normal 8 28 2_Adjusted bridges" xfId="11353" xr:uid="{FB3F62C8-D504-40F6-B463-1C92DF13A6A4}"/>
    <cellStyle name="Normal 8 28 3" xfId="5093" xr:uid="{00000000-0005-0000-0000-000020150000}"/>
    <cellStyle name="Normal 8 28 3 2" xfId="5094" xr:uid="{00000000-0005-0000-0000-000021150000}"/>
    <cellStyle name="Normal 8 28 3 3" xfId="5095" xr:uid="{00000000-0005-0000-0000-000022150000}"/>
    <cellStyle name="Normal 8 28 3_Adjusted bridges" xfId="11354" xr:uid="{6E23EA07-CFC5-48C5-A7CE-EDB80C989EA9}"/>
    <cellStyle name="Normal 8 28 4" xfId="5096" xr:uid="{00000000-0005-0000-0000-000024150000}"/>
    <cellStyle name="Normal 8 28 5" xfId="5097" xr:uid="{00000000-0005-0000-0000-000025150000}"/>
    <cellStyle name="Normal 8 28_Adjusted bridges" xfId="11352" xr:uid="{1F74A094-A247-4628-AE44-4BC2CCF52B4E}"/>
    <cellStyle name="Normal 8 29" xfId="5098" xr:uid="{00000000-0005-0000-0000-000027150000}"/>
    <cellStyle name="Normal 8 29 2" xfId="5099" xr:uid="{00000000-0005-0000-0000-000028150000}"/>
    <cellStyle name="Normal 8 29 3" xfId="5100" xr:uid="{00000000-0005-0000-0000-000029150000}"/>
    <cellStyle name="Normal 8 29_Adjusted bridges" xfId="11355" xr:uid="{018146A5-E69E-4ABD-896C-15B289943143}"/>
    <cellStyle name="Normal 8 3" xfId="5101" xr:uid="{00000000-0005-0000-0000-00002B150000}"/>
    <cellStyle name="Normal 8 3 2" xfId="5102" xr:uid="{00000000-0005-0000-0000-00002C150000}"/>
    <cellStyle name="Normal 8 3 2 2" xfId="5103" xr:uid="{00000000-0005-0000-0000-00002D150000}"/>
    <cellStyle name="Normal 8 3 2 2 2" xfId="5104" xr:uid="{00000000-0005-0000-0000-00002E150000}"/>
    <cellStyle name="Normal 8 3 2 2 2 2" xfId="5105" xr:uid="{00000000-0005-0000-0000-00002F150000}"/>
    <cellStyle name="Normal 8 3 2 2 2 3" xfId="5106" xr:uid="{00000000-0005-0000-0000-000030150000}"/>
    <cellStyle name="Normal 8 3 2 2 2_Adjusted bridges" xfId="11358" xr:uid="{FD39401B-716F-4812-8790-05786B7E82D3}"/>
    <cellStyle name="Normal 8 3 2 2 3" xfId="5107" xr:uid="{00000000-0005-0000-0000-000032150000}"/>
    <cellStyle name="Normal 8 3 2 2 3 2" xfId="5108" xr:uid="{00000000-0005-0000-0000-000033150000}"/>
    <cellStyle name="Normal 8 3 2 2 3 3" xfId="5109" xr:uid="{00000000-0005-0000-0000-000034150000}"/>
    <cellStyle name="Normal 8 3 2 2 3_Adjusted bridges" xfId="11359" xr:uid="{2F22FDDE-2B60-44E2-AF89-FF08AD8C96D9}"/>
    <cellStyle name="Normal 8 3 2 2 4" xfId="5110" xr:uid="{00000000-0005-0000-0000-000036150000}"/>
    <cellStyle name="Normal 8 3 2 2 5" xfId="5111" xr:uid="{00000000-0005-0000-0000-000037150000}"/>
    <cellStyle name="Normal 8 3 2 2_Adjusted bridges" xfId="11357" xr:uid="{52FFE624-4B89-446B-A844-24786BE0F996}"/>
    <cellStyle name="Normal 8 3 2 3" xfId="5112" xr:uid="{00000000-0005-0000-0000-000039150000}"/>
    <cellStyle name="Normal 8 3 2 3 2" xfId="5113" xr:uid="{00000000-0005-0000-0000-00003A150000}"/>
    <cellStyle name="Normal 8 3 2 3 3" xfId="5114" xr:uid="{00000000-0005-0000-0000-00003B150000}"/>
    <cellStyle name="Normal 8 3 2 3_Adjusted bridges" xfId="11360" xr:uid="{215EEDB0-367B-4B50-9510-C639177AE574}"/>
    <cellStyle name="Normal 8 3 2 4" xfId="5115" xr:uid="{00000000-0005-0000-0000-00003D150000}"/>
    <cellStyle name="Normal 8 3 2 4 2" xfId="5116" xr:uid="{00000000-0005-0000-0000-00003E150000}"/>
    <cellStyle name="Normal 8 3 2 4 3" xfId="5117" xr:uid="{00000000-0005-0000-0000-00003F150000}"/>
    <cellStyle name="Normal 8 3 2 4_Adjusted bridges" xfId="11361" xr:uid="{EB0EBD8D-8319-4512-94EB-8D6588AFE79D}"/>
    <cellStyle name="Normal 8 3 2 5" xfId="5118" xr:uid="{00000000-0005-0000-0000-000041150000}"/>
    <cellStyle name="Normal 8 3 2 6" xfId="5119" xr:uid="{00000000-0005-0000-0000-000042150000}"/>
    <cellStyle name="Normal 8 3 2_Adjusted bridges" xfId="11356" xr:uid="{F04510D5-5263-4320-9A9B-84141007A724}"/>
    <cellStyle name="Normal 8 3 3" xfId="5120" xr:uid="{00000000-0005-0000-0000-000044150000}"/>
    <cellStyle name="Normal 8 3 3 2" xfId="5121" xr:uid="{00000000-0005-0000-0000-000045150000}"/>
    <cellStyle name="Normal 8 3 3 2 2" xfId="5122" xr:uid="{00000000-0005-0000-0000-000046150000}"/>
    <cellStyle name="Normal 8 3 3 2 3" xfId="5123" xr:uid="{00000000-0005-0000-0000-000047150000}"/>
    <cellStyle name="Normal 8 3 3 2_Adjusted bridges" xfId="11363" xr:uid="{E689B4CA-AB97-4A7A-B0DF-0A03003D74C3}"/>
    <cellStyle name="Normal 8 3 3 3" xfId="5124" xr:uid="{00000000-0005-0000-0000-000049150000}"/>
    <cellStyle name="Normal 8 3 3 3 2" xfId="5125" xr:uid="{00000000-0005-0000-0000-00004A150000}"/>
    <cellStyle name="Normal 8 3 3 3 3" xfId="5126" xr:uid="{00000000-0005-0000-0000-00004B150000}"/>
    <cellStyle name="Normal 8 3 3 3_Adjusted bridges" xfId="11364" xr:uid="{5AF225A3-8CC2-4EF1-8399-A4D20805F96F}"/>
    <cellStyle name="Normal 8 3 3 4" xfId="5127" xr:uid="{00000000-0005-0000-0000-00004D150000}"/>
    <cellStyle name="Normal 8 3 3 5" xfId="5128" xr:uid="{00000000-0005-0000-0000-00004E150000}"/>
    <cellStyle name="Normal 8 3 3_Adjusted bridges" xfId="11362" xr:uid="{9B4C57F3-E68E-42DF-81B2-FACFB247D3E8}"/>
    <cellStyle name="Normal 8 3 4" xfId="5129" xr:uid="{00000000-0005-0000-0000-000050150000}"/>
    <cellStyle name="Normal 8 3 4 2" xfId="5130" xr:uid="{00000000-0005-0000-0000-000051150000}"/>
    <cellStyle name="Normal 8 3 4 3" xfId="5131" xr:uid="{00000000-0005-0000-0000-000052150000}"/>
    <cellStyle name="Normal 8 3 4_Adjusted bridges" xfId="11365" xr:uid="{347A447D-7FED-4587-B185-1F80B74AF9F0}"/>
    <cellStyle name="Normal 8 3 5" xfId="5132" xr:uid="{00000000-0005-0000-0000-000054150000}"/>
    <cellStyle name="Normal 8 3 5 2" xfId="5133" xr:uid="{00000000-0005-0000-0000-000055150000}"/>
    <cellStyle name="Normal 8 3 5 3" xfId="5134" xr:uid="{00000000-0005-0000-0000-000056150000}"/>
    <cellStyle name="Normal 8 3 5_Adjusted bridges" xfId="11366" xr:uid="{7D2CF38C-FC73-4BFD-B3E4-E1F02EE448E7}"/>
    <cellStyle name="Normal 8 3 6" xfId="5135" xr:uid="{00000000-0005-0000-0000-000058150000}"/>
    <cellStyle name="Normal 8 3 7" xfId="5136" xr:uid="{00000000-0005-0000-0000-000059150000}"/>
    <cellStyle name="Normal 8 3 8" xfId="5137" xr:uid="{00000000-0005-0000-0000-00005A150000}"/>
    <cellStyle name="Normal 8 3 9" xfId="5138" xr:uid="{00000000-0005-0000-0000-00005B150000}"/>
    <cellStyle name="Normal 8 3_1 KeyFig" xfId="5139" xr:uid="{00000000-0005-0000-0000-00005C150000}"/>
    <cellStyle name="Normal 8 30" xfId="5140" xr:uid="{00000000-0005-0000-0000-00005D150000}"/>
    <cellStyle name="Normal 8 30 2" xfId="5141" xr:uid="{00000000-0005-0000-0000-00005E150000}"/>
    <cellStyle name="Normal 8 30 3" xfId="5142" xr:uid="{00000000-0005-0000-0000-00005F150000}"/>
    <cellStyle name="Normal 8 30_Adjusted bridges" xfId="11367" xr:uid="{6F8972A3-6C80-438A-86DC-9C74AE1C48E0}"/>
    <cellStyle name="Normal 8 31" xfId="5143" xr:uid="{00000000-0005-0000-0000-000061150000}"/>
    <cellStyle name="Normal 8 32" xfId="5144" xr:uid="{00000000-0005-0000-0000-000062150000}"/>
    <cellStyle name="Normal 8 33" xfId="5145" xr:uid="{00000000-0005-0000-0000-000063150000}"/>
    <cellStyle name="Normal 8 34" xfId="5146" xr:uid="{00000000-0005-0000-0000-000064150000}"/>
    <cellStyle name="Normal 8 35" xfId="5147" xr:uid="{00000000-0005-0000-0000-000065150000}"/>
    <cellStyle name="Normal 8 36" xfId="5148" xr:uid="{00000000-0005-0000-0000-000066150000}"/>
    <cellStyle name="Normal 8 37" xfId="5149" xr:uid="{00000000-0005-0000-0000-000067150000}"/>
    <cellStyle name="Normal 8 38" xfId="5150" xr:uid="{00000000-0005-0000-0000-000068150000}"/>
    <cellStyle name="Normal 8 39" xfId="5151" xr:uid="{00000000-0005-0000-0000-000069150000}"/>
    <cellStyle name="Normal 8 4" xfId="5152" xr:uid="{00000000-0005-0000-0000-00006A150000}"/>
    <cellStyle name="Normal 8 4 2" xfId="5153" xr:uid="{00000000-0005-0000-0000-00006B150000}"/>
    <cellStyle name="Normal 8 4 2 2" xfId="5154" xr:uid="{00000000-0005-0000-0000-00006C150000}"/>
    <cellStyle name="Normal 8 4 2 2 2" xfId="5155" xr:uid="{00000000-0005-0000-0000-00006D150000}"/>
    <cellStyle name="Normal 8 4 2 2 2 2" xfId="5156" xr:uid="{00000000-0005-0000-0000-00006E150000}"/>
    <cellStyle name="Normal 8 4 2 2 2 3" xfId="5157" xr:uid="{00000000-0005-0000-0000-00006F150000}"/>
    <cellStyle name="Normal 8 4 2 2 2_Adjusted bridges" xfId="11370" xr:uid="{804856E7-A11B-4F3D-99E1-15228D6FB95C}"/>
    <cellStyle name="Normal 8 4 2 2 3" xfId="5158" xr:uid="{00000000-0005-0000-0000-000071150000}"/>
    <cellStyle name="Normal 8 4 2 2 3 2" xfId="5159" xr:uid="{00000000-0005-0000-0000-000072150000}"/>
    <cellStyle name="Normal 8 4 2 2 3 3" xfId="5160" xr:uid="{00000000-0005-0000-0000-000073150000}"/>
    <cellStyle name="Normal 8 4 2 2 3_Adjusted bridges" xfId="11371" xr:uid="{A6AE36DF-4875-48D7-B60C-E44F953BF434}"/>
    <cellStyle name="Normal 8 4 2 2 4" xfId="5161" xr:uid="{00000000-0005-0000-0000-000075150000}"/>
    <cellStyle name="Normal 8 4 2 2 5" xfId="5162" xr:uid="{00000000-0005-0000-0000-000076150000}"/>
    <cellStyle name="Normal 8 4 2 2_Adjusted bridges" xfId="11369" xr:uid="{F44F7C2E-0D31-49C7-8851-A1736E7347F8}"/>
    <cellStyle name="Normal 8 4 2 3" xfId="5163" xr:uid="{00000000-0005-0000-0000-000078150000}"/>
    <cellStyle name="Normal 8 4 2 3 2" xfId="5164" xr:uid="{00000000-0005-0000-0000-000079150000}"/>
    <cellStyle name="Normal 8 4 2 3 3" xfId="5165" xr:uid="{00000000-0005-0000-0000-00007A150000}"/>
    <cellStyle name="Normal 8 4 2 3_Adjusted bridges" xfId="11372" xr:uid="{24AF3999-93FE-4265-9123-CE161E2CD5C3}"/>
    <cellStyle name="Normal 8 4 2 4" xfId="5166" xr:uid="{00000000-0005-0000-0000-00007C150000}"/>
    <cellStyle name="Normal 8 4 2 4 2" xfId="5167" xr:uid="{00000000-0005-0000-0000-00007D150000}"/>
    <cellStyle name="Normal 8 4 2 4 3" xfId="5168" xr:uid="{00000000-0005-0000-0000-00007E150000}"/>
    <cellStyle name="Normal 8 4 2 4_Adjusted bridges" xfId="11373" xr:uid="{C1EED1DC-1134-44DA-95A9-D1FB0E2385EF}"/>
    <cellStyle name="Normal 8 4 2 5" xfId="5169" xr:uid="{00000000-0005-0000-0000-000080150000}"/>
    <cellStyle name="Normal 8 4 2 6" xfId="5170" xr:uid="{00000000-0005-0000-0000-000081150000}"/>
    <cellStyle name="Normal 8 4 2_Adjusted bridges" xfId="11368" xr:uid="{AACDB462-9090-499A-B816-563DE2FE18AC}"/>
    <cellStyle name="Normal 8 4 3" xfId="5171" xr:uid="{00000000-0005-0000-0000-000083150000}"/>
    <cellStyle name="Normal 8 4 3 2" xfId="5172" xr:uid="{00000000-0005-0000-0000-000084150000}"/>
    <cellStyle name="Normal 8 4 3 2 2" xfId="5173" xr:uid="{00000000-0005-0000-0000-000085150000}"/>
    <cellStyle name="Normal 8 4 3 2 3" xfId="5174" xr:uid="{00000000-0005-0000-0000-000086150000}"/>
    <cellStyle name="Normal 8 4 3 2_Adjusted bridges" xfId="11375" xr:uid="{325AA906-5AAB-4E3C-BAFB-0EEE4777FA87}"/>
    <cellStyle name="Normal 8 4 3 3" xfId="5175" xr:uid="{00000000-0005-0000-0000-000088150000}"/>
    <cellStyle name="Normal 8 4 3 3 2" xfId="5176" xr:uid="{00000000-0005-0000-0000-000089150000}"/>
    <cellStyle name="Normal 8 4 3 3 3" xfId="5177" xr:uid="{00000000-0005-0000-0000-00008A150000}"/>
    <cellStyle name="Normal 8 4 3 3_Adjusted bridges" xfId="11376" xr:uid="{1059B966-3399-4DC1-9A16-7F0BDD21840A}"/>
    <cellStyle name="Normal 8 4 3 4" xfId="5178" xr:uid="{00000000-0005-0000-0000-00008C150000}"/>
    <cellStyle name="Normal 8 4 3 5" xfId="5179" xr:uid="{00000000-0005-0000-0000-00008D150000}"/>
    <cellStyle name="Normal 8 4 3_Adjusted bridges" xfId="11374" xr:uid="{B5F4DA36-4AE2-475A-8122-3AF129725F97}"/>
    <cellStyle name="Normal 8 4 4" xfId="5180" xr:uid="{00000000-0005-0000-0000-00008F150000}"/>
    <cellStyle name="Normal 8 4 4 2" xfId="5181" xr:uid="{00000000-0005-0000-0000-000090150000}"/>
    <cellStyle name="Normal 8 4 4 3" xfId="5182" xr:uid="{00000000-0005-0000-0000-000091150000}"/>
    <cellStyle name="Normal 8 4 4_Adjusted bridges" xfId="11377" xr:uid="{97AEA705-FE41-4389-948F-FE19656825E1}"/>
    <cellStyle name="Normal 8 4 5" xfId="5183" xr:uid="{00000000-0005-0000-0000-000093150000}"/>
    <cellStyle name="Normal 8 4 5 2" xfId="5184" xr:uid="{00000000-0005-0000-0000-000094150000}"/>
    <cellStyle name="Normal 8 4 5 3" xfId="5185" xr:uid="{00000000-0005-0000-0000-000095150000}"/>
    <cellStyle name="Normal 8 4 5_Adjusted bridges" xfId="11378" xr:uid="{B6362F51-E6AC-402F-AFD9-C59B967A6B3C}"/>
    <cellStyle name="Normal 8 4 6" xfId="5186" xr:uid="{00000000-0005-0000-0000-000097150000}"/>
    <cellStyle name="Normal 8 4 7" xfId="5187" xr:uid="{00000000-0005-0000-0000-000098150000}"/>
    <cellStyle name="Normal 8 4_1 KeyFig" xfId="5188" xr:uid="{00000000-0005-0000-0000-000099150000}"/>
    <cellStyle name="Normal 8 40" xfId="5189" xr:uid="{00000000-0005-0000-0000-00009A150000}"/>
    <cellStyle name="Normal 8 41" xfId="5190" xr:uid="{00000000-0005-0000-0000-00009B150000}"/>
    <cellStyle name="Normal 8 42" xfId="5191" xr:uid="{00000000-0005-0000-0000-00009C150000}"/>
    <cellStyle name="Normal 8 43" xfId="5192" xr:uid="{00000000-0005-0000-0000-00009D150000}"/>
    <cellStyle name="Normal 8 44" xfId="5193" xr:uid="{00000000-0005-0000-0000-00009E150000}"/>
    <cellStyle name="Normal 8 45" xfId="5194" xr:uid="{00000000-0005-0000-0000-00009F150000}"/>
    <cellStyle name="Normal 8 46" xfId="5195" xr:uid="{00000000-0005-0000-0000-0000A0150000}"/>
    <cellStyle name="Normal 8 47" xfId="5196" xr:uid="{00000000-0005-0000-0000-0000A1150000}"/>
    <cellStyle name="Normal 8 48" xfId="5197" xr:uid="{00000000-0005-0000-0000-0000A2150000}"/>
    <cellStyle name="Normal 8 49" xfId="5198" xr:uid="{00000000-0005-0000-0000-0000A3150000}"/>
    <cellStyle name="Normal 8 5" xfId="5199" xr:uid="{00000000-0005-0000-0000-0000A4150000}"/>
    <cellStyle name="Normal 8 5 2" xfId="5200" xr:uid="{00000000-0005-0000-0000-0000A5150000}"/>
    <cellStyle name="Normal 8 5 2 2" xfId="5201" xr:uid="{00000000-0005-0000-0000-0000A6150000}"/>
    <cellStyle name="Normal 8 5 2 2 2" xfId="5202" xr:uid="{00000000-0005-0000-0000-0000A7150000}"/>
    <cellStyle name="Normal 8 5 2 2 2 2" xfId="5203" xr:uid="{00000000-0005-0000-0000-0000A8150000}"/>
    <cellStyle name="Normal 8 5 2 2 2 3" xfId="5204" xr:uid="{00000000-0005-0000-0000-0000A9150000}"/>
    <cellStyle name="Normal 8 5 2 2 2_Adjusted bridges" xfId="11381" xr:uid="{37D86F66-0D85-4113-B707-9B4543E10E6C}"/>
    <cellStyle name="Normal 8 5 2 2 3" xfId="5205" xr:uid="{00000000-0005-0000-0000-0000AB150000}"/>
    <cellStyle name="Normal 8 5 2 2 3 2" xfId="5206" xr:uid="{00000000-0005-0000-0000-0000AC150000}"/>
    <cellStyle name="Normal 8 5 2 2 3 3" xfId="5207" xr:uid="{00000000-0005-0000-0000-0000AD150000}"/>
    <cellStyle name="Normal 8 5 2 2 3_Adjusted bridges" xfId="11382" xr:uid="{B45F486F-8EAD-45AB-BC4B-886FD1F21523}"/>
    <cellStyle name="Normal 8 5 2 2 4" xfId="5208" xr:uid="{00000000-0005-0000-0000-0000AF150000}"/>
    <cellStyle name="Normal 8 5 2 2 5" xfId="5209" xr:uid="{00000000-0005-0000-0000-0000B0150000}"/>
    <cellStyle name="Normal 8 5 2 2_Adjusted bridges" xfId="11380" xr:uid="{222F21F0-1029-4FD2-9577-3C8B65631FF7}"/>
    <cellStyle name="Normal 8 5 2 3" xfId="5210" xr:uid="{00000000-0005-0000-0000-0000B2150000}"/>
    <cellStyle name="Normal 8 5 2 3 2" xfId="5211" xr:uid="{00000000-0005-0000-0000-0000B3150000}"/>
    <cellStyle name="Normal 8 5 2 3 3" xfId="5212" xr:uid="{00000000-0005-0000-0000-0000B4150000}"/>
    <cellStyle name="Normal 8 5 2 3_Adjusted bridges" xfId="11383" xr:uid="{08CB4A6E-3472-4223-A0D0-7F943D768320}"/>
    <cellStyle name="Normal 8 5 2 4" xfId="5213" xr:uid="{00000000-0005-0000-0000-0000B6150000}"/>
    <cellStyle name="Normal 8 5 2 4 2" xfId="5214" xr:uid="{00000000-0005-0000-0000-0000B7150000}"/>
    <cellStyle name="Normal 8 5 2 4 3" xfId="5215" xr:uid="{00000000-0005-0000-0000-0000B8150000}"/>
    <cellStyle name="Normal 8 5 2 4_Adjusted bridges" xfId="11384" xr:uid="{6AE03774-D48F-4E48-A89F-F888A1FECA8B}"/>
    <cellStyle name="Normal 8 5 2 5" xfId="5216" xr:uid="{00000000-0005-0000-0000-0000BA150000}"/>
    <cellStyle name="Normal 8 5 2 6" xfId="5217" xr:uid="{00000000-0005-0000-0000-0000BB150000}"/>
    <cellStyle name="Normal 8 5 2_Adjusted bridges" xfId="11379" xr:uid="{2BB62DE2-DEC7-4D4D-B9E9-B93A978942B4}"/>
    <cellStyle name="Normal 8 5 3" xfId="5218" xr:uid="{00000000-0005-0000-0000-0000BD150000}"/>
    <cellStyle name="Normal 8 5 3 2" xfId="5219" xr:uid="{00000000-0005-0000-0000-0000BE150000}"/>
    <cellStyle name="Normal 8 5 3 2 2" xfId="5220" xr:uid="{00000000-0005-0000-0000-0000BF150000}"/>
    <cellStyle name="Normal 8 5 3 2 3" xfId="5221" xr:uid="{00000000-0005-0000-0000-0000C0150000}"/>
    <cellStyle name="Normal 8 5 3 2_Adjusted bridges" xfId="11386" xr:uid="{42316D53-1630-48B0-B105-A98B4832D20C}"/>
    <cellStyle name="Normal 8 5 3 3" xfId="5222" xr:uid="{00000000-0005-0000-0000-0000C2150000}"/>
    <cellStyle name="Normal 8 5 3 3 2" xfId="5223" xr:uid="{00000000-0005-0000-0000-0000C3150000}"/>
    <cellStyle name="Normal 8 5 3 3 3" xfId="5224" xr:uid="{00000000-0005-0000-0000-0000C4150000}"/>
    <cellStyle name="Normal 8 5 3 3_Adjusted bridges" xfId="11387" xr:uid="{DD97F355-C3E9-4870-A27D-BBFA033B7017}"/>
    <cellStyle name="Normal 8 5 3 4" xfId="5225" xr:uid="{00000000-0005-0000-0000-0000C6150000}"/>
    <cellStyle name="Normal 8 5 3 5" xfId="5226" xr:uid="{00000000-0005-0000-0000-0000C7150000}"/>
    <cellStyle name="Normal 8 5 3_Adjusted bridges" xfId="11385" xr:uid="{7FDA1911-70FB-4143-BCAB-140508D18018}"/>
    <cellStyle name="Normal 8 5 4" xfId="5227" xr:uid="{00000000-0005-0000-0000-0000C9150000}"/>
    <cellStyle name="Normal 8 5 4 2" xfId="5228" xr:uid="{00000000-0005-0000-0000-0000CA150000}"/>
    <cellStyle name="Normal 8 5 4 3" xfId="5229" xr:uid="{00000000-0005-0000-0000-0000CB150000}"/>
    <cellStyle name="Normal 8 5 4_Adjusted bridges" xfId="11388" xr:uid="{BECB7079-B271-47F0-8A90-69DBCBE9A453}"/>
    <cellStyle name="Normal 8 5 5" xfId="5230" xr:uid="{00000000-0005-0000-0000-0000CD150000}"/>
    <cellStyle name="Normal 8 5 5 2" xfId="5231" xr:uid="{00000000-0005-0000-0000-0000CE150000}"/>
    <cellStyle name="Normal 8 5 5 3" xfId="5232" xr:uid="{00000000-0005-0000-0000-0000CF150000}"/>
    <cellStyle name="Normal 8 5 5_Adjusted bridges" xfId="11389" xr:uid="{1B9C39FE-4CB7-4CB9-9860-E1C7F2F5BE93}"/>
    <cellStyle name="Normal 8 5 6" xfId="5233" xr:uid="{00000000-0005-0000-0000-0000D1150000}"/>
    <cellStyle name="Normal 8 5 7" xfId="5234" xr:uid="{00000000-0005-0000-0000-0000D2150000}"/>
    <cellStyle name="Normal 8 5_1 KeyFig" xfId="5235" xr:uid="{00000000-0005-0000-0000-0000D3150000}"/>
    <cellStyle name="Normal 8 50" xfId="5236" xr:uid="{00000000-0005-0000-0000-0000D4150000}"/>
    <cellStyle name="Normal 8 51" xfId="5237" xr:uid="{00000000-0005-0000-0000-0000D5150000}"/>
    <cellStyle name="Normal 8 52" xfId="5238" xr:uid="{00000000-0005-0000-0000-0000D6150000}"/>
    <cellStyle name="Normal 8 53" xfId="5239" xr:uid="{00000000-0005-0000-0000-0000D7150000}"/>
    <cellStyle name="Normal 8 54" xfId="5240" xr:uid="{00000000-0005-0000-0000-0000D8150000}"/>
    <cellStyle name="Normal 8 55" xfId="5241" xr:uid="{00000000-0005-0000-0000-0000D9150000}"/>
    <cellStyle name="Normal 8 56" xfId="5242" xr:uid="{00000000-0005-0000-0000-0000DA150000}"/>
    <cellStyle name="Normal 8 6" xfId="5243" xr:uid="{00000000-0005-0000-0000-0000DB150000}"/>
    <cellStyle name="Normal 8 6 2" xfId="5244" xr:uid="{00000000-0005-0000-0000-0000DC150000}"/>
    <cellStyle name="Normal 8 6 2 2" xfId="5245" xr:uid="{00000000-0005-0000-0000-0000DD150000}"/>
    <cellStyle name="Normal 8 6 2 2 2" xfId="5246" xr:uid="{00000000-0005-0000-0000-0000DE150000}"/>
    <cellStyle name="Normal 8 6 2 2 2 2" xfId="5247" xr:uid="{00000000-0005-0000-0000-0000DF150000}"/>
    <cellStyle name="Normal 8 6 2 2 2 3" xfId="5248" xr:uid="{00000000-0005-0000-0000-0000E0150000}"/>
    <cellStyle name="Normal 8 6 2 2 2_Adjusted bridges" xfId="11392" xr:uid="{7617B26E-23A0-46F8-8E56-EA4EC5FCC810}"/>
    <cellStyle name="Normal 8 6 2 2 3" xfId="5249" xr:uid="{00000000-0005-0000-0000-0000E2150000}"/>
    <cellStyle name="Normal 8 6 2 2 3 2" xfId="5250" xr:uid="{00000000-0005-0000-0000-0000E3150000}"/>
    <cellStyle name="Normal 8 6 2 2 3 3" xfId="5251" xr:uid="{00000000-0005-0000-0000-0000E4150000}"/>
    <cellStyle name="Normal 8 6 2 2 3_Adjusted bridges" xfId="11393" xr:uid="{F6953F50-E03B-4A5E-A64C-7B2F4B4E6693}"/>
    <cellStyle name="Normal 8 6 2 2 4" xfId="5252" xr:uid="{00000000-0005-0000-0000-0000E6150000}"/>
    <cellStyle name="Normal 8 6 2 2 5" xfId="5253" xr:uid="{00000000-0005-0000-0000-0000E7150000}"/>
    <cellStyle name="Normal 8 6 2 2_Adjusted bridges" xfId="11391" xr:uid="{9A3E6B74-3CE7-4BC9-8F0B-2EEA8B683610}"/>
    <cellStyle name="Normal 8 6 2 3" xfId="5254" xr:uid="{00000000-0005-0000-0000-0000E9150000}"/>
    <cellStyle name="Normal 8 6 2 3 2" xfId="5255" xr:uid="{00000000-0005-0000-0000-0000EA150000}"/>
    <cellStyle name="Normal 8 6 2 3 3" xfId="5256" xr:uid="{00000000-0005-0000-0000-0000EB150000}"/>
    <cellStyle name="Normal 8 6 2 3_Adjusted bridges" xfId="11394" xr:uid="{661C9B57-73F7-4DE2-AB8B-D1D61FA28192}"/>
    <cellStyle name="Normal 8 6 2 4" xfId="5257" xr:uid="{00000000-0005-0000-0000-0000ED150000}"/>
    <cellStyle name="Normal 8 6 2 4 2" xfId="5258" xr:uid="{00000000-0005-0000-0000-0000EE150000}"/>
    <cellStyle name="Normal 8 6 2 4 3" xfId="5259" xr:uid="{00000000-0005-0000-0000-0000EF150000}"/>
    <cellStyle name="Normal 8 6 2 4_Adjusted bridges" xfId="11395" xr:uid="{C23D756F-6538-4AAE-8A6E-E7CC377D6DD6}"/>
    <cellStyle name="Normal 8 6 2 5" xfId="5260" xr:uid="{00000000-0005-0000-0000-0000F1150000}"/>
    <cellStyle name="Normal 8 6 2 6" xfId="5261" xr:uid="{00000000-0005-0000-0000-0000F2150000}"/>
    <cellStyle name="Normal 8 6 2_Adjusted bridges" xfId="11390" xr:uid="{FE9998D1-A87B-4D30-AAF7-E75DE57B9A00}"/>
    <cellStyle name="Normal 8 6 3" xfId="5262" xr:uid="{00000000-0005-0000-0000-0000F4150000}"/>
    <cellStyle name="Normal 8 6 3 2" xfId="5263" xr:uid="{00000000-0005-0000-0000-0000F5150000}"/>
    <cellStyle name="Normal 8 6 3 2 2" xfId="5264" xr:uid="{00000000-0005-0000-0000-0000F6150000}"/>
    <cellStyle name="Normal 8 6 3 2 3" xfId="5265" xr:uid="{00000000-0005-0000-0000-0000F7150000}"/>
    <cellStyle name="Normal 8 6 3 2_Adjusted bridges" xfId="11397" xr:uid="{941733C4-FFA8-473E-843E-58A4B0E766A9}"/>
    <cellStyle name="Normal 8 6 3 3" xfId="5266" xr:uid="{00000000-0005-0000-0000-0000F9150000}"/>
    <cellStyle name="Normal 8 6 3 3 2" xfId="5267" xr:uid="{00000000-0005-0000-0000-0000FA150000}"/>
    <cellStyle name="Normal 8 6 3 3 3" xfId="5268" xr:uid="{00000000-0005-0000-0000-0000FB150000}"/>
    <cellStyle name="Normal 8 6 3 3_Adjusted bridges" xfId="11398" xr:uid="{B19A1677-7492-46FE-9A67-12CF77A45A95}"/>
    <cellStyle name="Normal 8 6 3 4" xfId="5269" xr:uid="{00000000-0005-0000-0000-0000FD150000}"/>
    <cellStyle name="Normal 8 6 3 5" xfId="5270" xr:uid="{00000000-0005-0000-0000-0000FE150000}"/>
    <cellStyle name="Normal 8 6 3_Adjusted bridges" xfId="11396" xr:uid="{B6330E66-CFEE-4EEA-98A0-E7F48E0A06C3}"/>
    <cellStyle name="Normal 8 6 4" xfId="5271" xr:uid="{00000000-0005-0000-0000-000000160000}"/>
    <cellStyle name="Normal 8 6 4 2" xfId="5272" xr:uid="{00000000-0005-0000-0000-000001160000}"/>
    <cellStyle name="Normal 8 6 4 3" xfId="5273" xr:uid="{00000000-0005-0000-0000-000002160000}"/>
    <cellStyle name="Normal 8 6 4_Adjusted bridges" xfId="11399" xr:uid="{1A2D94F5-2C7B-4605-8CD1-CB28184CE71F}"/>
    <cellStyle name="Normal 8 6 5" xfId="5274" xr:uid="{00000000-0005-0000-0000-000004160000}"/>
    <cellStyle name="Normal 8 6 5 2" xfId="5275" xr:uid="{00000000-0005-0000-0000-000005160000}"/>
    <cellStyle name="Normal 8 6 5 3" xfId="5276" xr:uid="{00000000-0005-0000-0000-000006160000}"/>
    <cellStyle name="Normal 8 6 5_Adjusted bridges" xfId="11400" xr:uid="{B0E74A08-6B6D-4881-AE7F-EF014D7D8551}"/>
    <cellStyle name="Normal 8 6 6" xfId="5277" xr:uid="{00000000-0005-0000-0000-000008160000}"/>
    <cellStyle name="Normal 8 6 7" xfId="5278" xr:uid="{00000000-0005-0000-0000-000009160000}"/>
    <cellStyle name="Normal 8 6_1 KeyFig" xfId="5279" xr:uid="{00000000-0005-0000-0000-00000A160000}"/>
    <cellStyle name="Normal 8 7" xfId="5280" xr:uid="{00000000-0005-0000-0000-00000B160000}"/>
    <cellStyle name="Normal 8 7 2" xfId="5281" xr:uid="{00000000-0005-0000-0000-00000C160000}"/>
    <cellStyle name="Normal 8 7 2 2" xfId="5282" xr:uid="{00000000-0005-0000-0000-00000D160000}"/>
    <cellStyle name="Normal 8 7 2 2 2" xfId="5283" xr:uid="{00000000-0005-0000-0000-00000E160000}"/>
    <cellStyle name="Normal 8 7 2 2 2 2" xfId="5284" xr:uid="{00000000-0005-0000-0000-00000F160000}"/>
    <cellStyle name="Normal 8 7 2 2 2 3" xfId="5285" xr:uid="{00000000-0005-0000-0000-000010160000}"/>
    <cellStyle name="Normal 8 7 2 2 2_Adjusted bridges" xfId="11403" xr:uid="{E1085AF2-EF5D-416A-95C8-336E05DE9FDC}"/>
    <cellStyle name="Normal 8 7 2 2 3" xfId="5286" xr:uid="{00000000-0005-0000-0000-000012160000}"/>
    <cellStyle name="Normal 8 7 2 2 3 2" xfId="5287" xr:uid="{00000000-0005-0000-0000-000013160000}"/>
    <cellStyle name="Normal 8 7 2 2 3 3" xfId="5288" xr:uid="{00000000-0005-0000-0000-000014160000}"/>
    <cellStyle name="Normal 8 7 2 2 3_Adjusted bridges" xfId="11404" xr:uid="{2878B664-6B83-47E8-80C2-4D92BEFE017A}"/>
    <cellStyle name="Normal 8 7 2 2 4" xfId="5289" xr:uid="{00000000-0005-0000-0000-000016160000}"/>
    <cellStyle name="Normal 8 7 2 2 5" xfId="5290" xr:uid="{00000000-0005-0000-0000-000017160000}"/>
    <cellStyle name="Normal 8 7 2 2_Adjusted bridges" xfId="11402" xr:uid="{E884130C-0E42-4D4D-A2F3-84F3AF8B746A}"/>
    <cellStyle name="Normal 8 7 2 3" xfId="5291" xr:uid="{00000000-0005-0000-0000-000019160000}"/>
    <cellStyle name="Normal 8 7 2 3 2" xfId="5292" xr:uid="{00000000-0005-0000-0000-00001A160000}"/>
    <cellStyle name="Normal 8 7 2 3 3" xfId="5293" xr:uid="{00000000-0005-0000-0000-00001B160000}"/>
    <cellStyle name="Normal 8 7 2 3_Adjusted bridges" xfId="11405" xr:uid="{DB162985-0901-4B97-85B4-B4862A7EB6AE}"/>
    <cellStyle name="Normal 8 7 2 4" xfId="5294" xr:uid="{00000000-0005-0000-0000-00001D160000}"/>
    <cellStyle name="Normal 8 7 2 4 2" xfId="5295" xr:uid="{00000000-0005-0000-0000-00001E160000}"/>
    <cellStyle name="Normal 8 7 2 4 3" xfId="5296" xr:uid="{00000000-0005-0000-0000-00001F160000}"/>
    <cellStyle name="Normal 8 7 2 4_Adjusted bridges" xfId="11406" xr:uid="{D6B3CE37-9F11-4AB6-B6D4-D13976CA59A0}"/>
    <cellStyle name="Normal 8 7 2 5" xfId="5297" xr:uid="{00000000-0005-0000-0000-000021160000}"/>
    <cellStyle name="Normal 8 7 2 6" xfId="5298" xr:uid="{00000000-0005-0000-0000-000022160000}"/>
    <cellStyle name="Normal 8 7 2_Adjusted bridges" xfId="11401" xr:uid="{0CB8788F-C4E3-43B9-A6B8-076FC9A1AC70}"/>
    <cellStyle name="Normal 8 7 3" xfId="5299" xr:uid="{00000000-0005-0000-0000-000024160000}"/>
    <cellStyle name="Normal 8 7 3 2" xfId="5300" xr:uid="{00000000-0005-0000-0000-000025160000}"/>
    <cellStyle name="Normal 8 7 3 2 2" xfId="5301" xr:uid="{00000000-0005-0000-0000-000026160000}"/>
    <cellStyle name="Normal 8 7 3 2 3" xfId="5302" xr:uid="{00000000-0005-0000-0000-000027160000}"/>
    <cellStyle name="Normal 8 7 3 2_Adjusted bridges" xfId="11408" xr:uid="{50892FC8-999F-44DA-BC6B-ECEB4BCDABB5}"/>
    <cellStyle name="Normal 8 7 3 3" xfId="5303" xr:uid="{00000000-0005-0000-0000-000029160000}"/>
    <cellStyle name="Normal 8 7 3 3 2" xfId="5304" xr:uid="{00000000-0005-0000-0000-00002A160000}"/>
    <cellStyle name="Normal 8 7 3 3 3" xfId="5305" xr:uid="{00000000-0005-0000-0000-00002B160000}"/>
    <cellStyle name="Normal 8 7 3 3_Adjusted bridges" xfId="11409" xr:uid="{3D2AD0C3-2897-42DB-8C02-CEECAAD47486}"/>
    <cellStyle name="Normal 8 7 3 4" xfId="5306" xr:uid="{00000000-0005-0000-0000-00002D160000}"/>
    <cellStyle name="Normal 8 7 3 5" xfId="5307" xr:uid="{00000000-0005-0000-0000-00002E160000}"/>
    <cellStyle name="Normal 8 7 3_Adjusted bridges" xfId="11407" xr:uid="{9DBBB81C-0BBC-4723-AB12-02BDED66F4FF}"/>
    <cellStyle name="Normal 8 7 4" xfId="5308" xr:uid="{00000000-0005-0000-0000-000030160000}"/>
    <cellStyle name="Normal 8 7 4 2" xfId="5309" xr:uid="{00000000-0005-0000-0000-000031160000}"/>
    <cellStyle name="Normal 8 7 4 3" xfId="5310" xr:uid="{00000000-0005-0000-0000-000032160000}"/>
    <cellStyle name="Normal 8 7 4_Adjusted bridges" xfId="11410" xr:uid="{18B1DEB6-B476-49FE-AF6D-D5B97C7D3D76}"/>
    <cellStyle name="Normal 8 7 5" xfId="5311" xr:uid="{00000000-0005-0000-0000-000034160000}"/>
    <cellStyle name="Normal 8 7 5 2" xfId="5312" xr:uid="{00000000-0005-0000-0000-000035160000}"/>
    <cellStyle name="Normal 8 7 5 3" xfId="5313" xr:uid="{00000000-0005-0000-0000-000036160000}"/>
    <cellStyle name="Normal 8 7 5_Adjusted bridges" xfId="11411" xr:uid="{02462C36-1FEC-4457-BAC2-19802A0732FE}"/>
    <cellStyle name="Normal 8 7 6" xfId="5314" xr:uid="{00000000-0005-0000-0000-000038160000}"/>
    <cellStyle name="Normal 8 7 7" xfId="5315" xr:uid="{00000000-0005-0000-0000-000039160000}"/>
    <cellStyle name="Normal 8 7 8" xfId="5316" xr:uid="{00000000-0005-0000-0000-00003A160000}"/>
    <cellStyle name="Normal 8 7_1 KeyFig" xfId="5317" xr:uid="{00000000-0005-0000-0000-00003B160000}"/>
    <cellStyle name="Normal 8 8" xfId="5318" xr:uid="{00000000-0005-0000-0000-00003C160000}"/>
    <cellStyle name="Normal 8 8 2" xfId="5319" xr:uid="{00000000-0005-0000-0000-00003D160000}"/>
    <cellStyle name="Normal 8 8 2 2" xfId="5320" xr:uid="{00000000-0005-0000-0000-00003E160000}"/>
    <cellStyle name="Normal 8 8 2 2 2" xfId="5321" xr:uid="{00000000-0005-0000-0000-00003F160000}"/>
    <cellStyle name="Normal 8 8 2 2 2 2" xfId="5322" xr:uid="{00000000-0005-0000-0000-000040160000}"/>
    <cellStyle name="Normal 8 8 2 2 2 3" xfId="5323" xr:uid="{00000000-0005-0000-0000-000041160000}"/>
    <cellStyle name="Normal 8 8 2 2 2_Adjusted bridges" xfId="11414" xr:uid="{985D13A0-6166-4D5A-95C9-FA0350260345}"/>
    <cellStyle name="Normal 8 8 2 2 3" xfId="5324" xr:uid="{00000000-0005-0000-0000-000043160000}"/>
    <cellStyle name="Normal 8 8 2 2 3 2" xfId="5325" xr:uid="{00000000-0005-0000-0000-000044160000}"/>
    <cellStyle name="Normal 8 8 2 2 3 3" xfId="5326" xr:uid="{00000000-0005-0000-0000-000045160000}"/>
    <cellStyle name="Normal 8 8 2 2 3_Adjusted bridges" xfId="11415" xr:uid="{66625320-014A-44D8-B3D9-D8353331F788}"/>
    <cellStyle name="Normal 8 8 2 2 4" xfId="5327" xr:uid="{00000000-0005-0000-0000-000047160000}"/>
    <cellStyle name="Normal 8 8 2 2 5" xfId="5328" xr:uid="{00000000-0005-0000-0000-000048160000}"/>
    <cellStyle name="Normal 8 8 2 2_Adjusted bridges" xfId="11413" xr:uid="{7F36A273-B862-4709-A9BA-207A9282D1F3}"/>
    <cellStyle name="Normal 8 8 2 3" xfId="5329" xr:uid="{00000000-0005-0000-0000-00004A160000}"/>
    <cellStyle name="Normal 8 8 2 3 2" xfId="5330" xr:uid="{00000000-0005-0000-0000-00004B160000}"/>
    <cellStyle name="Normal 8 8 2 3 3" xfId="5331" xr:uid="{00000000-0005-0000-0000-00004C160000}"/>
    <cellStyle name="Normal 8 8 2 3_Adjusted bridges" xfId="11416" xr:uid="{FEFA8981-31B0-4799-81D3-5B2DD4565543}"/>
    <cellStyle name="Normal 8 8 2 4" xfId="5332" xr:uid="{00000000-0005-0000-0000-00004E160000}"/>
    <cellStyle name="Normal 8 8 2 4 2" xfId="5333" xr:uid="{00000000-0005-0000-0000-00004F160000}"/>
    <cellStyle name="Normal 8 8 2 4 3" xfId="5334" xr:uid="{00000000-0005-0000-0000-000050160000}"/>
    <cellStyle name="Normal 8 8 2 4_Adjusted bridges" xfId="11417" xr:uid="{1142C3E3-6C9B-4D90-A33A-DB7FCA1E70C6}"/>
    <cellStyle name="Normal 8 8 2 5" xfId="5335" xr:uid="{00000000-0005-0000-0000-000052160000}"/>
    <cellStyle name="Normal 8 8 2 6" xfId="5336" xr:uid="{00000000-0005-0000-0000-000053160000}"/>
    <cellStyle name="Normal 8 8 2_Adjusted bridges" xfId="11412" xr:uid="{CF84F7AE-6247-489B-A49C-9BD4C4B195AD}"/>
    <cellStyle name="Normal 8 8 3" xfId="5337" xr:uid="{00000000-0005-0000-0000-000055160000}"/>
    <cellStyle name="Normal 8 8 3 2" xfId="5338" xr:uid="{00000000-0005-0000-0000-000056160000}"/>
    <cellStyle name="Normal 8 8 3 2 2" xfId="5339" xr:uid="{00000000-0005-0000-0000-000057160000}"/>
    <cellStyle name="Normal 8 8 3 2 3" xfId="5340" xr:uid="{00000000-0005-0000-0000-000058160000}"/>
    <cellStyle name="Normal 8 8 3 2_Adjusted bridges" xfId="11419" xr:uid="{F8BE0B9B-F5CF-4E0D-99AA-494789BD6E34}"/>
    <cellStyle name="Normal 8 8 3 3" xfId="5341" xr:uid="{00000000-0005-0000-0000-00005A160000}"/>
    <cellStyle name="Normal 8 8 3 3 2" xfId="5342" xr:uid="{00000000-0005-0000-0000-00005B160000}"/>
    <cellStyle name="Normal 8 8 3 3 3" xfId="5343" xr:uid="{00000000-0005-0000-0000-00005C160000}"/>
    <cellStyle name="Normal 8 8 3 3_Adjusted bridges" xfId="11420" xr:uid="{2413FD78-1F97-4D6D-9336-06E0DF47FC92}"/>
    <cellStyle name="Normal 8 8 3 4" xfId="5344" xr:uid="{00000000-0005-0000-0000-00005E160000}"/>
    <cellStyle name="Normal 8 8 3 5" xfId="5345" xr:uid="{00000000-0005-0000-0000-00005F160000}"/>
    <cellStyle name="Normal 8 8 3_Adjusted bridges" xfId="11418" xr:uid="{E58298DF-3BC8-4A5A-98FA-266539A16BC6}"/>
    <cellStyle name="Normal 8 8 4" xfId="5346" xr:uid="{00000000-0005-0000-0000-000061160000}"/>
    <cellStyle name="Normal 8 8 4 2" xfId="5347" xr:uid="{00000000-0005-0000-0000-000062160000}"/>
    <cellStyle name="Normal 8 8 4 3" xfId="5348" xr:uid="{00000000-0005-0000-0000-000063160000}"/>
    <cellStyle name="Normal 8 8 4_Adjusted bridges" xfId="11421" xr:uid="{EB7376A1-1838-4958-BADE-F5FB7AF80E28}"/>
    <cellStyle name="Normal 8 8 5" xfId="5349" xr:uid="{00000000-0005-0000-0000-000065160000}"/>
    <cellStyle name="Normal 8 8 5 2" xfId="5350" xr:uid="{00000000-0005-0000-0000-000066160000}"/>
    <cellStyle name="Normal 8 8 5 3" xfId="5351" xr:uid="{00000000-0005-0000-0000-000067160000}"/>
    <cellStyle name="Normal 8 8 5_Adjusted bridges" xfId="11422" xr:uid="{CE7D92EB-E6B1-40A8-BDE6-9CFC999A3BC2}"/>
    <cellStyle name="Normal 8 8 6" xfId="5352" xr:uid="{00000000-0005-0000-0000-000069160000}"/>
    <cellStyle name="Normal 8 8 7" xfId="5353" xr:uid="{00000000-0005-0000-0000-00006A160000}"/>
    <cellStyle name="Normal 8 8_1 KeyFig" xfId="5354" xr:uid="{00000000-0005-0000-0000-00006B160000}"/>
    <cellStyle name="Normal 8 9" xfId="5355" xr:uid="{00000000-0005-0000-0000-00006C160000}"/>
    <cellStyle name="Normal 8 9 2" xfId="5356" xr:uid="{00000000-0005-0000-0000-00006D160000}"/>
    <cellStyle name="Normal 8 9 2 2" xfId="5357" xr:uid="{00000000-0005-0000-0000-00006E160000}"/>
    <cellStyle name="Normal 8 9 2 2 2" xfId="5358" xr:uid="{00000000-0005-0000-0000-00006F160000}"/>
    <cellStyle name="Normal 8 9 2 2 2 2" xfId="5359" xr:uid="{00000000-0005-0000-0000-000070160000}"/>
    <cellStyle name="Normal 8 9 2 2 2 3" xfId="5360" xr:uid="{00000000-0005-0000-0000-000071160000}"/>
    <cellStyle name="Normal 8 9 2 2 2_Adjusted bridges" xfId="11426" xr:uid="{73A8B13C-B163-4161-BD5A-1F20429E8CC0}"/>
    <cellStyle name="Normal 8 9 2 2 3" xfId="5361" xr:uid="{00000000-0005-0000-0000-000073160000}"/>
    <cellStyle name="Normal 8 9 2 2 3 2" xfId="5362" xr:uid="{00000000-0005-0000-0000-000074160000}"/>
    <cellStyle name="Normal 8 9 2 2 3 3" xfId="5363" xr:uid="{00000000-0005-0000-0000-000075160000}"/>
    <cellStyle name="Normal 8 9 2 2 3_Adjusted bridges" xfId="11427" xr:uid="{C3A61EAD-C0E3-4C81-B8AA-25F31F3751ED}"/>
    <cellStyle name="Normal 8 9 2 2 4" xfId="5364" xr:uid="{00000000-0005-0000-0000-000077160000}"/>
    <cellStyle name="Normal 8 9 2 2 5" xfId="5365" xr:uid="{00000000-0005-0000-0000-000078160000}"/>
    <cellStyle name="Normal 8 9 2 2_Adjusted bridges" xfId="11425" xr:uid="{EC83BFDB-574F-410F-9EB4-B36C98C1A9C3}"/>
    <cellStyle name="Normal 8 9 2 3" xfId="5366" xr:uid="{00000000-0005-0000-0000-00007A160000}"/>
    <cellStyle name="Normal 8 9 2 3 2" xfId="5367" xr:uid="{00000000-0005-0000-0000-00007B160000}"/>
    <cellStyle name="Normal 8 9 2 3 3" xfId="5368" xr:uid="{00000000-0005-0000-0000-00007C160000}"/>
    <cellStyle name="Normal 8 9 2 3_Adjusted bridges" xfId="11428" xr:uid="{D43B4FBA-6558-477F-9496-6093A081FD0D}"/>
    <cellStyle name="Normal 8 9 2 4" xfId="5369" xr:uid="{00000000-0005-0000-0000-00007E160000}"/>
    <cellStyle name="Normal 8 9 2 4 2" xfId="5370" xr:uid="{00000000-0005-0000-0000-00007F160000}"/>
    <cellStyle name="Normal 8 9 2 4 3" xfId="5371" xr:uid="{00000000-0005-0000-0000-000080160000}"/>
    <cellStyle name="Normal 8 9 2 4_Adjusted bridges" xfId="11429" xr:uid="{2820366F-17AA-4FC3-AB59-C2F7287E568D}"/>
    <cellStyle name="Normal 8 9 2 5" xfId="5372" xr:uid="{00000000-0005-0000-0000-000082160000}"/>
    <cellStyle name="Normal 8 9 2 6" xfId="5373" xr:uid="{00000000-0005-0000-0000-000083160000}"/>
    <cellStyle name="Normal 8 9 2_Adjusted bridges" xfId="11424" xr:uid="{F5ABC4FF-1817-40AE-A3A0-12C5563E6CB0}"/>
    <cellStyle name="Normal 8 9 3" xfId="5374" xr:uid="{00000000-0005-0000-0000-000085160000}"/>
    <cellStyle name="Normal 8 9 3 2" xfId="5375" xr:uid="{00000000-0005-0000-0000-000086160000}"/>
    <cellStyle name="Normal 8 9 3 2 2" xfId="5376" xr:uid="{00000000-0005-0000-0000-000087160000}"/>
    <cellStyle name="Normal 8 9 3 2 3" xfId="5377" xr:uid="{00000000-0005-0000-0000-000088160000}"/>
    <cellStyle name="Normal 8 9 3 2_Adjusted bridges" xfId="11431" xr:uid="{78031FFB-6B17-4FA2-AB9C-5FBAC3CF341B}"/>
    <cellStyle name="Normal 8 9 3 3" xfId="5378" xr:uid="{00000000-0005-0000-0000-00008A160000}"/>
    <cellStyle name="Normal 8 9 3 3 2" xfId="5379" xr:uid="{00000000-0005-0000-0000-00008B160000}"/>
    <cellStyle name="Normal 8 9 3 3 3" xfId="5380" xr:uid="{00000000-0005-0000-0000-00008C160000}"/>
    <cellStyle name="Normal 8 9 3 3_Adjusted bridges" xfId="11432" xr:uid="{762CC1AB-69E3-40ED-BE27-56270ACBE34B}"/>
    <cellStyle name="Normal 8 9 3 4" xfId="5381" xr:uid="{00000000-0005-0000-0000-00008E160000}"/>
    <cellStyle name="Normal 8 9 3 5" xfId="5382" xr:uid="{00000000-0005-0000-0000-00008F160000}"/>
    <cellStyle name="Normal 8 9 3_Adjusted bridges" xfId="11430" xr:uid="{4E5B8F0A-8912-449C-9654-15F37B793787}"/>
    <cellStyle name="Normal 8 9 4" xfId="5383" xr:uid="{00000000-0005-0000-0000-000091160000}"/>
    <cellStyle name="Normal 8 9 4 2" xfId="5384" xr:uid="{00000000-0005-0000-0000-000092160000}"/>
    <cellStyle name="Normal 8 9 4 3" xfId="5385" xr:uid="{00000000-0005-0000-0000-000093160000}"/>
    <cellStyle name="Normal 8 9 4_Adjusted bridges" xfId="11433" xr:uid="{ED3BAF3A-339F-49C2-B4C7-970BAB06791A}"/>
    <cellStyle name="Normal 8 9 5" xfId="5386" xr:uid="{00000000-0005-0000-0000-000095160000}"/>
    <cellStyle name="Normal 8 9 5 2" xfId="5387" xr:uid="{00000000-0005-0000-0000-000096160000}"/>
    <cellStyle name="Normal 8 9 5 3" xfId="5388" xr:uid="{00000000-0005-0000-0000-000097160000}"/>
    <cellStyle name="Normal 8 9 5_Adjusted bridges" xfId="11434" xr:uid="{238F3148-B6FE-4864-A36D-485418232FA9}"/>
    <cellStyle name="Normal 8 9 6" xfId="5389" xr:uid="{00000000-0005-0000-0000-000099160000}"/>
    <cellStyle name="Normal 8 9 7" xfId="5390" xr:uid="{00000000-0005-0000-0000-00009A160000}"/>
    <cellStyle name="Normal 8 9_Adjusted bridges" xfId="11423" xr:uid="{B0F51E2E-E152-47EA-805D-970DB717DC97}"/>
    <cellStyle name="Normal 8_1 KeyFig" xfId="5391" xr:uid="{00000000-0005-0000-0000-00009C160000}"/>
    <cellStyle name="Normal 80" xfId="5392" xr:uid="{00000000-0005-0000-0000-00009D160000}"/>
    <cellStyle name="Normal 80 2" xfId="10882" xr:uid="{764966B3-25FE-4C81-885D-CCF07FBD9413}"/>
    <cellStyle name="Normal 80_Adjusted bridges" xfId="11435" xr:uid="{C0E5B425-0AB7-42EA-8B51-086E1DD94854}"/>
    <cellStyle name="Normal 81" xfId="5393" xr:uid="{00000000-0005-0000-0000-00009E160000}"/>
    <cellStyle name="Normal 81 2" xfId="10883" xr:uid="{3992C735-6500-470D-BA8D-A2A92E44178E}"/>
    <cellStyle name="Normal 81_Adjusted bridges" xfId="11436" xr:uid="{CF996AC0-6861-4CE6-ACBA-3B900995D5C4}"/>
    <cellStyle name="Normal 82" xfId="5394" xr:uid="{00000000-0005-0000-0000-00009F160000}"/>
    <cellStyle name="Normal 82 2" xfId="5395" xr:uid="{00000000-0005-0000-0000-0000A0160000}"/>
    <cellStyle name="Normal 82_1 KeyFig" xfId="5396" xr:uid="{00000000-0005-0000-0000-0000A1160000}"/>
    <cellStyle name="Normal 83" xfId="5397" xr:uid="{00000000-0005-0000-0000-0000A2160000}"/>
    <cellStyle name="Normal 84" xfId="5398" xr:uid="{00000000-0005-0000-0000-0000A3160000}"/>
    <cellStyle name="Normal 85" xfId="5399" xr:uid="{00000000-0005-0000-0000-0000A4160000}"/>
    <cellStyle name="Normal 86" xfId="5400" xr:uid="{00000000-0005-0000-0000-0000A5160000}"/>
    <cellStyle name="Normal 86 2" xfId="10884" xr:uid="{909B5231-BFD1-4391-B1D5-BA005C4624C6}"/>
    <cellStyle name="Normal 86_Adjusted bridges" xfId="11437" xr:uid="{FCD0C11B-1927-4ADB-9749-B182450F4C53}"/>
    <cellStyle name="Normal 87" xfId="5401" xr:uid="{00000000-0005-0000-0000-0000A6160000}"/>
    <cellStyle name="Normal 87 2" xfId="10885" xr:uid="{05BD528C-CCB5-421D-9936-E57DC4151AF2}"/>
    <cellStyle name="Normal 87_Adjusted bridges" xfId="11438" xr:uid="{B1D4BCE3-8E57-44E6-A41A-8128CEE72C46}"/>
    <cellStyle name="Normal 88" xfId="5402" xr:uid="{00000000-0005-0000-0000-0000A7160000}"/>
    <cellStyle name="Normal 89" xfId="5403" xr:uid="{00000000-0005-0000-0000-0000A8160000}"/>
    <cellStyle name="Normal 9" xfId="10" xr:uid="{00000000-0005-0000-0000-0000A9160000}"/>
    <cellStyle name="Normal 9 2" xfId="356" xr:uid="{00000000-0005-0000-0000-0000AA160000}"/>
    <cellStyle name="Normal 9 2 2" xfId="5404" xr:uid="{00000000-0005-0000-0000-0000AB160000}"/>
    <cellStyle name="Normal 9 2 2 2" xfId="5405" xr:uid="{00000000-0005-0000-0000-0000AC160000}"/>
    <cellStyle name="Normal 9 2 2 2 2" xfId="10886" xr:uid="{18E63DAB-449D-4B85-AB5D-2410A44B8121}"/>
    <cellStyle name="Normal 9 2 2 2 2 2" xfId="10887" xr:uid="{EDBE09DA-C459-46B9-A37D-FDEC0368D9FA}"/>
    <cellStyle name="Normal 9 2 2 2 2 2 2" xfId="10888" xr:uid="{3E83A590-2018-4301-9184-605C40AAED33}"/>
    <cellStyle name="Normal 9 2 2 2 2 2_By country" xfId="10889" xr:uid="{66FC5DF7-1C5E-427F-BF7C-1CB224976D00}"/>
    <cellStyle name="Normal 9 2 2 2 2 3" xfId="10890" xr:uid="{74034BC5-683E-4FB1-A9DE-507747BEFD53}"/>
    <cellStyle name="Normal 9 2 2 2 2_By country" xfId="10891" xr:uid="{D9AE0940-2AF9-46A7-B948-0E8461FE0AF8}"/>
    <cellStyle name="Normal 9 2 2 2 3" xfId="10892" xr:uid="{73E9A5A5-B309-4B07-8371-93545D695E0B}"/>
    <cellStyle name="Normal 9 2 2 2 3 2" xfId="10893" xr:uid="{F05ED1D8-E19E-4D5B-A5A6-1F55881FE815}"/>
    <cellStyle name="Normal 9 2 2 2 3_By country" xfId="10894" xr:uid="{6CD34D83-5FF0-4C9E-B0A5-DD5692155CCD}"/>
    <cellStyle name="Normal 9 2 2 2 4" xfId="10895" xr:uid="{AAA4BEF1-5545-4DD6-A7E8-4CD3995286EC}"/>
    <cellStyle name="Normal 9 2 2 2_Adjusted bridges" xfId="11439" xr:uid="{138ED099-8156-418B-8DDA-47AB14AE00F1}"/>
    <cellStyle name="Normal 9 2 2 3" xfId="5406" xr:uid="{00000000-0005-0000-0000-0000AD160000}"/>
    <cellStyle name="Normal 9 2 2 3 2" xfId="10896" xr:uid="{4C6717D7-7761-40C7-B276-819F43287669}"/>
    <cellStyle name="Normal 9 2 2 3 2 2" xfId="10897" xr:uid="{E6D7C92E-49FE-450D-A4C7-0678705ACAF0}"/>
    <cellStyle name="Normal 9 2 2 3 2_By country" xfId="10898" xr:uid="{37BE59F2-8541-4831-A01E-638F5CB0CF39}"/>
    <cellStyle name="Normal 9 2 2 3 3" xfId="10899" xr:uid="{13D148C5-04E2-44A1-BC5A-065504301AF3}"/>
    <cellStyle name="Normal 9 2 2 3_Adjusted bridges" xfId="11440" xr:uid="{9F32900B-CF4D-4624-820C-734AA10DC8CB}"/>
    <cellStyle name="Normal 9 2 2 4" xfId="5407" xr:uid="{00000000-0005-0000-0000-0000AE160000}"/>
    <cellStyle name="Normal 9 2 2 4 2" xfId="10900" xr:uid="{A496F64D-7086-426C-BF3B-0FE2506C7965}"/>
    <cellStyle name="Normal 9 2 2 4_Adjusted bridges" xfId="11441" xr:uid="{28882C9F-BBC4-4A31-928F-1AFCE2F69EF3}"/>
    <cellStyle name="Normal 9 2 2 5" xfId="5408" xr:uid="{00000000-0005-0000-0000-0000AF160000}"/>
    <cellStyle name="Normal 9 2 2_1 KeyFig" xfId="5409" xr:uid="{00000000-0005-0000-0000-0000B0160000}"/>
    <cellStyle name="Normal 9 2 3" xfId="5410" xr:uid="{00000000-0005-0000-0000-0000B1160000}"/>
    <cellStyle name="Normal 9 2 3 2" xfId="5411" xr:uid="{00000000-0005-0000-0000-0000B2160000}"/>
    <cellStyle name="Normal 9 2 3 2 2" xfId="10901" xr:uid="{16DC11CB-047D-4308-9FD7-2E71E434554E}"/>
    <cellStyle name="Normal 9 2 3 2 2 2" xfId="10902" xr:uid="{9170ECBA-4859-4EA2-9143-12B6018E9A2C}"/>
    <cellStyle name="Normal 9 2 3 2 2_By country" xfId="10903" xr:uid="{47ECF0B5-A6DB-44FA-8FBA-EB39D3C1C66C}"/>
    <cellStyle name="Normal 9 2 3 2 3" xfId="10904" xr:uid="{AFD55920-2764-47B1-A885-5BF17C952100}"/>
    <cellStyle name="Normal 9 2 3 2_Adjusted bridges" xfId="11442" xr:uid="{4F676286-71B3-4504-AC4F-BB7282FC720A}"/>
    <cellStyle name="Normal 9 2 3 3" xfId="10905" xr:uid="{FC581484-E78F-4E1B-81C0-40CF21D1885A}"/>
    <cellStyle name="Normal 9 2 3 3 2" xfId="10906" xr:uid="{6C7EFE8C-73BC-47CB-ADAB-8AFB8AE59D9C}"/>
    <cellStyle name="Normal 9 2 3 3_By country" xfId="10907" xr:uid="{92E8C836-7C90-4BA4-B1C2-A63C53F4D9C8}"/>
    <cellStyle name="Normal 9 2 3 4" xfId="10908" xr:uid="{62540759-68A8-49F2-9DE4-2533A8558280}"/>
    <cellStyle name="Normal 9 2 3_1 KeyFig" xfId="5412" xr:uid="{00000000-0005-0000-0000-0000B3160000}"/>
    <cellStyle name="Normal 9 2 4" xfId="5413" xr:uid="{00000000-0005-0000-0000-0000B4160000}"/>
    <cellStyle name="Normal 9 2 4 2" xfId="10909" xr:uid="{B49B3DF8-E022-4A79-97B6-EF142CE6098B}"/>
    <cellStyle name="Normal 9 2 4 2 2" xfId="10910" xr:uid="{355E98D2-93B8-4070-AC6B-948A4E57D997}"/>
    <cellStyle name="Normal 9 2 4 2_By country" xfId="10911" xr:uid="{738DFD6E-5363-4B33-9172-8BAC9EA70932}"/>
    <cellStyle name="Normal 9 2 4 3" xfId="10912" xr:uid="{070FDB0C-29D5-4D48-AA32-8279551A4CCB}"/>
    <cellStyle name="Normal 9 2 4_Adjusted bridges" xfId="11443" xr:uid="{E85FA86E-4D09-42E3-8C62-F2A5DC1AEE4B}"/>
    <cellStyle name="Normal 9 2 5" xfId="5414" xr:uid="{00000000-0005-0000-0000-0000B5160000}"/>
    <cellStyle name="Normal 9 2 5 2" xfId="10913" xr:uid="{374CB1D0-002E-4D18-B11A-7DDC52FE605A}"/>
    <cellStyle name="Normal 9 2 5_Adjusted bridges" xfId="11444" xr:uid="{0C7C6346-DC08-4A5F-A070-FD2A24021BF7}"/>
    <cellStyle name="Normal 9 2 6" xfId="10914" xr:uid="{5565AB2B-E57B-4174-BA7A-DC7D248390C0}"/>
    <cellStyle name="Normal 9 2_1 KeyFig" xfId="5415" xr:uid="{00000000-0005-0000-0000-0000B6160000}"/>
    <cellStyle name="Normal 9 3" xfId="5416" xr:uid="{00000000-0005-0000-0000-0000B7160000}"/>
    <cellStyle name="Normal 9 3 2" xfId="5417" xr:uid="{00000000-0005-0000-0000-0000B8160000}"/>
    <cellStyle name="Normal 9 3 2 2" xfId="10915" xr:uid="{6857B5B4-B377-4418-B4C2-E589A00D0DA7}"/>
    <cellStyle name="Normal 9 3 2 2 2" xfId="10916" xr:uid="{9B712F95-C11C-44A1-956D-770FF216562A}"/>
    <cellStyle name="Normal 9 3 2 2 2 2" xfId="10917" xr:uid="{ECB62C11-30CF-46A0-A36B-0E2E971A0C86}"/>
    <cellStyle name="Normal 9 3 2 2 2 2 2" xfId="10918" xr:uid="{D14C64A5-F2D2-4759-A222-42941522A251}"/>
    <cellStyle name="Normal 9 3 2 2 2 2_By country" xfId="10919" xr:uid="{6966EBFC-C1BA-410E-B53C-040DFF8715D0}"/>
    <cellStyle name="Normal 9 3 2 2 2 3" xfId="10920" xr:uid="{002E7FE3-A7A4-453F-BD23-11D3ADEFA4F1}"/>
    <cellStyle name="Normal 9 3 2 2 2_By country" xfId="10921" xr:uid="{C71C61EE-B45D-4167-99F2-1559DF0F0CE5}"/>
    <cellStyle name="Normal 9 3 2 2 3" xfId="10922" xr:uid="{827DF75B-AADF-440B-AC72-79F2E5A11D5B}"/>
    <cellStyle name="Normal 9 3 2 2 3 2" xfId="10923" xr:uid="{5D439E84-19C3-4F4E-A81D-DB71FF5CB13D}"/>
    <cellStyle name="Normal 9 3 2 2 3_By country" xfId="10924" xr:uid="{F5F74A93-EFC3-49A2-AA49-259FDC69FF17}"/>
    <cellStyle name="Normal 9 3 2 2 4" xfId="10925" xr:uid="{4A5439EB-9652-479E-ACA5-1259198D33D3}"/>
    <cellStyle name="Normal 9 3 2 2_By country" xfId="10926" xr:uid="{5DCBA17A-7235-44C8-8334-5A47B6D79BB2}"/>
    <cellStyle name="Normal 9 3 2 3" xfId="10927" xr:uid="{2AD96D1A-FF29-444F-A2FA-85CD0B7AA9E8}"/>
    <cellStyle name="Normal 9 3 2 3 2" xfId="10928" xr:uid="{CC087440-2F54-4141-94BC-2BF86D9A59FB}"/>
    <cellStyle name="Normal 9 3 2 3 2 2" xfId="10929" xr:uid="{5DE0D0D4-79CD-456E-B530-04A99711FB6C}"/>
    <cellStyle name="Normal 9 3 2 3 2_By country" xfId="10930" xr:uid="{6ADB70F1-8932-4E13-963C-DC57DDA011FF}"/>
    <cellStyle name="Normal 9 3 2 3 3" xfId="10931" xr:uid="{5E9D139F-CCC4-40F0-A74F-B959EB472487}"/>
    <cellStyle name="Normal 9 3 2 3_By country" xfId="10932" xr:uid="{17080A6A-7B91-4929-8850-D93D44230217}"/>
    <cellStyle name="Normal 9 3 2 4" xfId="10933" xr:uid="{FAA5035B-098C-45E1-9E61-215A529783B6}"/>
    <cellStyle name="Normal 9 3 2 4 2" xfId="10934" xr:uid="{0590D091-6BCD-4A2C-ACD0-3FC46A4D753D}"/>
    <cellStyle name="Normal 9 3 2 4_By country" xfId="10935" xr:uid="{D54599F2-0451-4B59-8167-A263429116E4}"/>
    <cellStyle name="Normal 9 3 2 5" xfId="10936" xr:uid="{CAFE7716-795C-441A-91AD-007752FF823A}"/>
    <cellStyle name="Normal 9 3 2_Adjusted bridges" xfId="11445" xr:uid="{59B2A243-F902-4671-847A-AEF745E3DA76}"/>
    <cellStyle name="Normal 9 3 3" xfId="10937" xr:uid="{32A5BD68-6C59-4300-BE42-9D4285AE734A}"/>
    <cellStyle name="Normal 9 3 3 2" xfId="10938" xr:uid="{0E3A9478-B0AC-441F-BFEC-8DF68CA3D98C}"/>
    <cellStyle name="Normal 9 3 3 2 2" xfId="10939" xr:uid="{BD9A24E3-620A-4402-AB5B-1C353450336A}"/>
    <cellStyle name="Normal 9 3 3 2 2 2" xfId="10940" xr:uid="{63D5EC7A-56F3-48C5-B7AD-5671FEF83D21}"/>
    <cellStyle name="Normal 9 3 3 2 2_By country" xfId="10941" xr:uid="{9D422A71-A004-4036-97A1-35219E71BF77}"/>
    <cellStyle name="Normal 9 3 3 2 3" xfId="10942" xr:uid="{16211461-671F-4059-86F0-B0EE8FD98529}"/>
    <cellStyle name="Normal 9 3 3 2_By country" xfId="10943" xr:uid="{11F34FDD-8196-4FD8-AC94-191B73D6E050}"/>
    <cellStyle name="Normal 9 3 3 3" xfId="10944" xr:uid="{4A5F6705-AD68-4E37-AA11-A372C364CF18}"/>
    <cellStyle name="Normal 9 3 3 3 2" xfId="10945" xr:uid="{92F67A7F-D1A4-416F-972C-AC103A52850D}"/>
    <cellStyle name="Normal 9 3 3 3_By country" xfId="10946" xr:uid="{E0D3FE1D-6CE0-441E-9F18-05CA8E1D6FCC}"/>
    <cellStyle name="Normal 9 3 3 4" xfId="10947" xr:uid="{D6303D6A-B7E0-4D2D-9DB4-42F993050313}"/>
    <cellStyle name="Normal 9 3 3_By country" xfId="10948" xr:uid="{DAB8D4CB-BD86-4016-8563-874578FCA386}"/>
    <cellStyle name="Normal 9 3 4" xfId="10949" xr:uid="{B1BD60EB-0085-4260-8D38-EB328EE1231D}"/>
    <cellStyle name="Normal 9 3 4 2" xfId="10950" xr:uid="{601D5656-562A-43E2-8A89-1DFCC8383C08}"/>
    <cellStyle name="Normal 9 3 4 2 2" xfId="10951" xr:uid="{42AD2332-E599-4526-BDCF-819520A81D9F}"/>
    <cellStyle name="Normal 9 3 4 2_By country" xfId="10952" xr:uid="{98000E64-169E-4AE8-BBBA-7B96885BB288}"/>
    <cellStyle name="Normal 9 3 4 3" xfId="10953" xr:uid="{DD76D3AE-231A-47DC-9582-54875F48C76A}"/>
    <cellStyle name="Normal 9 3 4_By country" xfId="10954" xr:uid="{6C051599-19E1-4519-8B8F-EB2CE08601F5}"/>
    <cellStyle name="Normal 9 3 5" xfId="10955" xr:uid="{FF54749D-4950-433D-BF4C-0017B9B6C8B8}"/>
    <cellStyle name="Normal 9 3 5 2" xfId="10956" xr:uid="{7BB5AF3C-83BB-4BBA-B32F-0499D66C2DBA}"/>
    <cellStyle name="Normal 9 3 5_By country" xfId="10957" xr:uid="{3A28D6F1-B1E9-474A-9096-A2E07E974D97}"/>
    <cellStyle name="Normal 9 3 6" xfId="10958" xr:uid="{9C20F762-E838-4335-83D9-1175FDD0FE09}"/>
    <cellStyle name="Normal 9 3_1 KeyFig" xfId="5418" xr:uid="{00000000-0005-0000-0000-0000B9160000}"/>
    <cellStyle name="Normal 9 4" xfId="5419" xr:uid="{00000000-0005-0000-0000-0000BA160000}"/>
    <cellStyle name="Normal 9 4 2" xfId="5420" xr:uid="{00000000-0005-0000-0000-0000BB160000}"/>
    <cellStyle name="Normal 9 4 2 2" xfId="10959" xr:uid="{C12907C1-1656-4123-B9AE-36214E3F2239}"/>
    <cellStyle name="Normal 9 4 2 2 2" xfId="10960" xr:uid="{B39EA7C3-9B66-4FED-8884-184816360250}"/>
    <cellStyle name="Normal 9 4 2 2 2 2" xfId="10961" xr:uid="{F39B229C-E271-48D6-9844-A2865162DF57}"/>
    <cellStyle name="Normal 9 4 2 2 2_By country" xfId="10962" xr:uid="{CB8462FF-D934-478E-ABA2-A26064AF3C0B}"/>
    <cellStyle name="Normal 9 4 2 2 3" xfId="10963" xr:uid="{4B709EA5-5133-4D0C-8C9C-BCE7324AC48E}"/>
    <cellStyle name="Normal 9 4 2 2_By country" xfId="10964" xr:uid="{AC8C1456-5A33-48A0-8FB8-DE22218608AD}"/>
    <cellStyle name="Normal 9 4 2 3" xfId="10965" xr:uid="{C6B0F24F-E9A5-45A5-B407-F6FAA4578BA2}"/>
    <cellStyle name="Normal 9 4 2 3 2" xfId="10966" xr:uid="{30962166-0269-4A59-9204-2C532F8968CB}"/>
    <cellStyle name="Normal 9 4 2 3_By country" xfId="10967" xr:uid="{9743D160-6736-4029-87D8-B8265669EB9D}"/>
    <cellStyle name="Normal 9 4 2 4" xfId="10968" xr:uid="{22392104-3E56-48BF-90EE-E4B231FA8294}"/>
    <cellStyle name="Normal 9 4 2_Adjusted bridges" xfId="11446" xr:uid="{473929CF-0E7D-451A-AE3C-770C72A0A326}"/>
    <cellStyle name="Normal 9 4 3" xfId="10969" xr:uid="{32B396FD-19C7-486F-884B-D4B53CBAB88C}"/>
    <cellStyle name="Normal 9 4 3 2" xfId="10970" xr:uid="{61402E32-0A7D-4C97-8A7C-9B636EB6039D}"/>
    <cellStyle name="Normal 9 4 3 2 2" xfId="10971" xr:uid="{9452BCAD-6EF3-4B6D-A35F-4159A78D1B8D}"/>
    <cellStyle name="Normal 9 4 3 2_By country" xfId="10972" xr:uid="{19EDE317-CE46-4102-B148-3D33AB924710}"/>
    <cellStyle name="Normal 9 4 3 3" xfId="10973" xr:uid="{76CE9508-DD95-4234-AFA3-7EB68201B24C}"/>
    <cellStyle name="Normal 9 4 3_By country" xfId="10974" xr:uid="{6FAB80A2-801E-40E0-B313-1421BA88E915}"/>
    <cellStyle name="Normal 9 4 4" xfId="10975" xr:uid="{4A0FD460-238D-40DF-BAFD-41A73290C8FD}"/>
    <cellStyle name="Normal 9 4 4 2" xfId="10976" xr:uid="{60267219-4A29-40DE-877F-16A6A537B5E5}"/>
    <cellStyle name="Normal 9 4 4_By country" xfId="10977" xr:uid="{4EC345F2-4A5E-4004-8A47-B4D45E2EEB1E}"/>
    <cellStyle name="Normal 9 4 5" xfId="10978" xr:uid="{B79F2C17-123E-492A-94B4-B372BBC91F78}"/>
    <cellStyle name="Normal 9 4_1 KeyFig" xfId="5421" xr:uid="{00000000-0005-0000-0000-0000BC160000}"/>
    <cellStyle name="Normal 9 5" xfId="5422" xr:uid="{00000000-0005-0000-0000-0000BD160000}"/>
    <cellStyle name="Normal 9 5 2" xfId="10979" xr:uid="{76F6FD13-585D-4047-B545-D222437E3B8E}"/>
    <cellStyle name="Normal 9 5 2 2" xfId="10980" xr:uid="{F2FAA7A4-E9F0-432A-A917-F7F9B2244FD9}"/>
    <cellStyle name="Normal 9 5 2 2 2" xfId="10981" xr:uid="{E22CE7DB-E23A-48C0-B5FD-F432C3AAF45E}"/>
    <cellStyle name="Normal 9 5 2 2_By country" xfId="10982" xr:uid="{28C1CAD8-35F1-4F37-9369-8B0F11AD9C7B}"/>
    <cellStyle name="Normal 9 5 2 3" xfId="10983" xr:uid="{46253E45-FA80-45A8-9A72-7D92DE2F807E}"/>
    <cellStyle name="Normal 9 5 2_By country" xfId="10984" xr:uid="{C6F6F4CB-2F00-41FE-A099-8D66C661885E}"/>
    <cellStyle name="Normal 9 5 3" xfId="10985" xr:uid="{C04FEDCC-A382-4F3F-B01C-2F50B05A20BF}"/>
    <cellStyle name="Normal 9 5 3 2" xfId="10986" xr:uid="{CA8EEE86-F295-4CC8-9924-5CE5ECFE1FDC}"/>
    <cellStyle name="Normal 9 5 3_By country" xfId="10987" xr:uid="{A5E71695-C030-4D41-B521-FBA0C54AEAC6}"/>
    <cellStyle name="Normal 9 5 4" xfId="10988" xr:uid="{D6E07ED3-C93A-4CD2-947A-B4B556731941}"/>
    <cellStyle name="Normal 9 5_Adjusted bridges" xfId="11447" xr:uid="{3E29DF0B-2A74-45CB-B11B-9F415BE9D7E1}"/>
    <cellStyle name="Normal 9 6" xfId="5423" xr:uid="{00000000-0005-0000-0000-0000BE160000}"/>
    <cellStyle name="Normal 9 6 2" xfId="10989" xr:uid="{3096102F-448B-44D1-8966-AA745158F0EF}"/>
    <cellStyle name="Normal 9 6 2 2" xfId="10990" xr:uid="{20C5892E-68B5-4BCF-B7A5-61344865D733}"/>
    <cellStyle name="Normal 9 6 2_By country" xfId="10991" xr:uid="{23CDB745-C660-43FD-A249-0B3B0A53C29C}"/>
    <cellStyle name="Normal 9 6 3" xfId="10992" xr:uid="{8CA77BEE-F987-4F0A-BB29-7B39F58DD64A}"/>
    <cellStyle name="Normal 9 6_Adjusted bridges" xfId="11448" xr:uid="{110D16B6-97D3-429D-B677-6C0DB4579B71}"/>
    <cellStyle name="Normal 9 7" xfId="5424" xr:uid="{00000000-0005-0000-0000-0000BF160000}"/>
    <cellStyle name="Normal 9 7 2" xfId="10993" xr:uid="{EDF94555-CCAE-4F92-BBE2-5B6BB0E212D3}"/>
    <cellStyle name="Normal 9 7_Adjusted bridges" xfId="11449" xr:uid="{0FEC25EA-83D0-485A-B2E4-DC970C81A00B}"/>
    <cellStyle name="Normal 9 8" xfId="10994" xr:uid="{B167D4ED-D72D-4667-8A28-C05C50E915CD}"/>
    <cellStyle name="Normal 9_1 KeyFig" xfId="5425" xr:uid="{00000000-0005-0000-0000-0000C0160000}"/>
    <cellStyle name="Normal 90" xfId="5426" xr:uid="{00000000-0005-0000-0000-0000C1160000}"/>
    <cellStyle name="Normal 91" xfId="5427" xr:uid="{00000000-0005-0000-0000-0000C2160000}"/>
    <cellStyle name="Normal 92" xfId="5428" xr:uid="{00000000-0005-0000-0000-0000C3160000}"/>
    <cellStyle name="Normal 93" xfId="5429" xr:uid="{00000000-0005-0000-0000-0000C4160000}"/>
    <cellStyle name="Normal 94" xfId="5430" xr:uid="{00000000-0005-0000-0000-0000C5160000}"/>
    <cellStyle name="Normal 95" xfId="5431" xr:uid="{00000000-0005-0000-0000-0000C6160000}"/>
    <cellStyle name="Normal 96" xfId="5432" xr:uid="{00000000-0005-0000-0000-0000C7160000}"/>
    <cellStyle name="Normal 97" xfId="5433" xr:uid="{00000000-0005-0000-0000-0000C8160000}"/>
    <cellStyle name="Normal 98" xfId="5434" xr:uid="{00000000-0005-0000-0000-0000C9160000}"/>
    <cellStyle name="Normal 99" xfId="5435" xr:uid="{00000000-0005-0000-0000-0000CA160000}"/>
    <cellStyle name="Normal ej noll" xfId="357" xr:uid="{00000000-0005-0000-0000-0000CB160000}"/>
    <cellStyle name="Normal ej noll låst" xfId="358" xr:uid="{00000000-0005-0000-0000-0000CC160000}"/>
    <cellStyle name="Normal ej noll_1 KeyFig" xfId="5436" xr:uid="{00000000-0005-0000-0000-0000CD160000}"/>
    <cellStyle name="Normal_Adjusted bridges" xfId="11100" xr:uid="{1632B95F-1E9E-4F60-8650-1021DBAA6C7A}"/>
    <cellStyle name="Normale_Foglio1" xfId="359" xr:uid="{00000000-0005-0000-0000-0000CE160000}"/>
    <cellStyle name="Nota" xfId="10995" xr:uid="{366DB300-CA46-43BE-AD33-F6909CC220E0}"/>
    <cellStyle name="Notas" xfId="10996" xr:uid="{C074F70C-7F8B-4860-B991-8ABF58647CBF}"/>
    <cellStyle name="Notas 2" xfId="10997" xr:uid="{FDBAAAD9-8766-4F53-A9F4-822C3F901B1F}"/>
    <cellStyle name="Notas_CF" xfId="10998" xr:uid="{F310D6DA-F2DD-4A2B-9B22-EE52CB665282}"/>
    <cellStyle name="Note 10" xfId="5437" xr:uid="{00000000-0005-0000-0000-0000CF160000}"/>
    <cellStyle name="Note 11" xfId="5438" xr:uid="{00000000-0005-0000-0000-0000D0160000}"/>
    <cellStyle name="Note 12" xfId="5439" xr:uid="{00000000-0005-0000-0000-0000D1160000}"/>
    <cellStyle name="Note 13" xfId="5440" xr:uid="{00000000-0005-0000-0000-0000D2160000}"/>
    <cellStyle name="Note 14" xfId="5441" xr:uid="{00000000-0005-0000-0000-0000D3160000}"/>
    <cellStyle name="Note 15" xfId="5442" xr:uid="{00000000-0005-0000-0000-0000D4160000}"/>
    <cellStyle name="Note 16" xfId="5443" xr:uid="{00000000-0005-0000-0000-0000D5160000}"/>
    <cellStyle name="Note 17" xfId="5444" xr:uid="{00000000-0005-0000-0000-0000D6160000}"/>
    <cellStyle name="Note 18" xfId="5445" xr:uid="{00000000-0005-0000-0000-0000D7160000}"/>
    <cellStyle name="Note 19" xfId="5446" xr:uid="{00000000-0005-0000-0000-0000D8160000}"/>
    <cellStyle name="Note 2" xfId="360" xr:uid="{00000000-0005-0000-0000-0000D9160000}"/>
    <cellStyle name="Note 2 10" xfId="5447" xr:uid="{00000000-0005-0000-0000-0000DA160000}"/>
    <cellStyle name="Note 2 11" xfId="5448" xr:uid="{00000000-0005-0000-0000-0000DB160000}"/>
    <cellStyle name="Note 2 12" xfId="5449" xr:uid="{00000000-0005-0000-0000-0000DC160000}"/>
    <cellStyle name="Note 2 13" xfId="5450" xr:uid="{00000000-0005-0000-0000-0000DD160000}"/>
    <cellStyle name="Note 2 14" xfId="5451" xr:uid="{00000000-0005-0000-0000-0000DE160000}"/>
    <cellStyle name="Note 2 15" xfId="5452" xr:uid="{00000000-0005-0000-0000-0000DF160000}"/>
    <cellStyle name="Note 2 16" xfId="5453" xr:uid="{00000000-0005-0000-0000-0000E0160000}"/>
    <cellStyle name="Note 2 2" xfId="361" xr:uid="{00000000-0005-0000-0000-0000E1160000}"/>
    <cellStyle name="Note 2 2 2" xfId="5454" xr:uid="{00000000-0005-0000-0000-0000E2160000}"/>
    <cellStyle name="Note 2 2 2 2" xfId="5455" xr:uid="{00000000-0005-0000-0000-0000E3160000}"/>
    <cellStyle name="Note 2 2 2_1 KeyFig" xfId="5456" xr:uid="{00000000-0005-0000-0000-0000E4160000}"/>
    <cellStyle name="Note 2 2 3" xfId="5457" xr:uid="{00000000-0005-0000-0000-0000E5160000}"/>
    <cellStyle name="Note 2 2 4" xfId="5458" xr:uid="{00000000-0005-0000-0000-0000E6160000}"/>
    <cellStyle name="Note 2 2 5" xfId="5459" xr:uid="{00000000-0005-0000-0000-0000E7160000}"/>
    <cellStyle name="Note 2 2_1 KeyFig" xfId="5460" xr:uid="{00000000-0005-0000-0000-0000E8160000}"/>
    <cellStyle name="Note 2 3" xfId="5461" xr:uid="{00000000-0005-0000-0000-0000E9160000}"/>
    <cellStyle name="Note 2 3 10" xfId="5462" xr:uid="{00000000-0005-0000-0000-0000EA160000}"/>
    <cellStyle name="Note 2 3 11" xfId="5463" xr:uid="{00000000-0005-0000-0000-0000EB160000}"/>
    <cellStyle name="Note 2 3 12" xfId="5464" xr:uid="{00000000-0005-0000-0000-0000EC160000}"/>
    <cellStyle name="Note 2 3 13" xfId="5465" xr:uid="{00000000-0005-0000-0000-0000ED160000}"/>
    <cellStyle name="Note 2 3 14" xfId="5466" xr:uid="{00000000-0005-0000-0000-0000EE160000}"/>
    <cellStyle name="Note 2 3 15" xfId="5467" xr:uid="{00000000-0005-0000-0000-0000EF160000}"/>
    <cellStyle name="Note 2 3 2" xfId="5468" xr:uid="{00000000-0005-0000-0000-0000F0160000}"/>
    <cellStyle name="Note 2 3 2 10" xfId="5469" xr:uid="{00000000-0005-0000-0000-0000F1160000}"/>
    <cellStyle name="Note 2 3 2 11" xfId="5470" xr:uid="{00000000-0005-0000-0000-0000F2160000}"/>
    <cellStyle name="Note 2 3 2 12" xfId="5471" xr:uid="{00000000-0005-0000-0000-0000F3160000}"/>
    <cellStyle name="Note 2 3 2 2" xfId="5472" xr:uid="{00000000-0005-0000-0000-0000F4160000}"/>
    <cellStyle name="Note 2 3 2 3" xfId="5473" xr:uid="{00000000-0005-0000-0000-0000F5160000}"/>
    <cellStyle name="Note 2 3 2 4" xfId="5474" xr:uid="{00000000-0005-0000-0000-0000F6160000}"/>
    <cellStyle name="Note 2 3 2 5" xfId="5475" xr:uid="{00000000-0005-0000-0000-0000F7160000}"/>
    <cellStyle name="Note 2 3 2 6" xfId="5476" xr:uid="{00000000-0005-0000-0000-0000F8160000}"/>
    <cellStyle name="Note 2 3 2 7" xfId="5477" xr:uid="{00000000-0005-0000-0000-0000F9160000}"/>
    <cellStyle name="Note 2 3 2 8" xfId="5478" xr:uid="{00000000-0005-0000-0000-0000FA160000}"/>
    <cellStyle name="Note 2 3 2 9" xfId="5479" xr:uid="{00000000-0005-0000-0000-0000FB160000}"/>
    <cellStyle name="Note 2 3 2_1 KeyFig" xfId="5480" xr:uid="{00000000-0005-0000-0000-0000FC160000}"/>
    <cellStyle name="Note 2 3 3" xfId="5481" xr:uid="{00000000-0005-0000-0000-0000FD160000}"/>
    <cellStyle name="Note 2 3 4" xfId="5482" xr:uid="{00000000-0005-0000-0000-0000FE160000}"/>
    <cellStyle name="Note 2 3 5" xfId="5483" xr:uid="{00000000-0005-0000-0000-0000FF160000}"/>
    <cellStyle name="Note 2 3 6" xfId="5484" xr:uid="{00000000-0005-0000-0000-000000170000}"/>
    <cellStyle name="Note 2 3 7" xfId="5485" xr:uid="{00000000-0005-0000-0000-000001170000}"/>
    <cellStyle name="Note 2 3 8" xfId="5486" xr:uid="{00000000-0005-0000-0000-000002170000}"/>
    <cellStyle name="Note 2 3 9" xfId="5487" xr:uid="{00000000-0005-0000-0000-000003170000}"/>
    <cellStyle name="Note 2 3_1 KeyFig" xfId="5488" xr:uid="{00000000-0005-0000-0000-000004170000}"/>
    <cellStyle name="Note 2 4" xfId="5489" xr:uid="{00000000-0005-0000-0000-000005170000}"/>
    <cellStyle name="Note 2 4 2" xfId="5490" xr:uid="{00000000-0005-0000-0000-000006170000}"/>
    <cellStyle name="Note 2 4_1 KeyFig" xfId="5491" xr:uid="{00000000-0005-0000-0000-000007170000}"/>
    <cellStyle name="Note 2 5" xfId="5492" xr:uid="{00000000-0005-0000-0000-000008170000}"/>
    <cellStyle name="Note 2 6" xfId="5493" xr:uid="{00000000-0005-0000-0000-000009170000}"/>
    <cellStyle name="Note 2 7" xfId="5494" xr:uid="{00000000-0005-0000-0000-00000A170000}"/>
    <cellStyle name="Note 2 8" xfId="5495" xr:uid="{00000000-0005-0000-0000-00000B170000}"/>
    <cellStyle name="Note 2 8 2" xfId="5496" xr:uid="{00000000-0005-0000-0000-00000C170000}"/>
    <cellStyle name="Note 2 8_1 KeyFig" xfId="5497" xr:uid="{00000000-0005-0000-0000-00000D170000}"/>
    <cellStyle name="Note 2 9" xfId="5498" xr:uid="{00000000-0005-0000-0000-00000E170000}"/>
    <cellStyle name="Note 2_1 KeyFig" xfId="5499" xr:uid="{00000000-0005-0000-0000-00000F170000}"/>
    <cellStyle name="Note 20" xfId="5500" xr:uid="{00000000-0005-0000-0000-000010170000}"/>
    <cellStyle name="Note 21" xfId="5501" xr:uid="{00000000-0005-0000-0000-000011170000}"/>
    <cellStyle name="Note 22" xfId="5502" xr:uid="{00000000-0005-0000-0000-000012170000}"/>
    <cellStyle name="Note 23" xfId="5503" xr:uid="{00000000-0005-0000-0000-000013170000}"/>
    <cellStyle name="Note 24" xfId="5504" xr:uid="{00000000-0005-0000-0000-000014170000}"/>
    <cellStyle name="Note 25" xfId="5505" xr:uid="{00000000-0005-0000-0000-000015170000}"/>
    <cellStyle name="Note 26" xfId="5506" xr:uid="{00000000-0005-0000-0000-000016170000}"/>
    <cellStyle name="Note 27" xfId="5507" xr:uid="{00000000-0005-0000-0000-000017170000}"/>
    <cellStyle name="Note 28" xfId="5508" xr:uid="{00000000-0005-0000-0000-000018170000}"/>
    <cellStyle name="Note 29" xfId="5509" xr:uid="{00000000-0005-0000-0000-000019170000}"/>
    <cellStyle name="Note 3" xfId="362" xr:uid="{00000000-0005-0000-0000-00001A170000}"/>
    <cellStyle name="Note 3 10" xfId="5510" xr:uid="{00000000-0005-0000-0000-00001B170000}"/>
    <cellStyle name="Note 3 11" xfId="5511" xr:uid="{00000000-0005-0000-0000-00001C170000}"/>
    <cellStyle name="Note 3 12" xfId="5512" xr:uid="{00000000-0005-0000-0000-00001D170000}"/>
    <cellStyle name="Note 3 13" xfId="5513" xr:uid="{00000000-0005-0000-0000-00001E170000}"/>
    <cellStyle name="Note 3 14" xfId="5514" xr:uid="{00000000-0005-0000-0000-00001F170000}"/>
    <cellStyle name="Note 3 15" xfId="5515" xr:uid="{00000000-0005-0000-0000-000020170000}"/>
    <cellStyle name="Note 3 16" xfId="5516" xr:uid="{00000000-0005-0000-0000-000021170000}"/>
    <cellStyle name="Note 3 2" xfId="363" xr:uid="{00000000-0005-0000-0000-000022170000}"/>
    <cellStyle name="Note 3 2 2" xfId="5517" xr:uid="{00000000-0005-0000-0000-000023170000}"/>
    <cellStyle name="Note 3 2 2 2" xfId="5518" xr:uid="{00000000-0005-0000-0000-000024170000}"/>
    <cellStyle name="Note 3 2 2_1 KeyFig" xfId="5519" xr:uid="{00000000-0005-0000-0000-000025170000}"/>
    <cellStyle name="Note 3 2 3" xfId="5520" xr:uid="{00000000-0005-0000-0000-000026170000}"/>
    <cellStyle name="Note 3 2 4" xfId="5521" xr:uid="{00000000-0005-0000-0000-000027170000}"/>
    <cellStyle name="Note 3 2 5" xfId="5522" xr:uid="{00000000-0005-0000-0000-000028170000}"/>
    <cellStyle name="Note 3 2_1 KeyFig" xfId="5523" xr:uid="{00000000-0005-0000-0000-000029170000}"/>
    <cellStyle name="Note 3 3" xfId="5524" xr:uid="{00000000-0005-0000-0000-00002A170000}"/>
    <cellStyle name="Note 3 3 10" xfId="5525" xr:uid="{00000000-0005-0000-0000-00002B170000}"/>
    <cellStyle name="Note 3 3 11" xfId="5526" xr:uid="{00000000-0005-0000-0000-00002C170000}"/>
    <cellStyle name="Note 3 3 12" xfId="5527" xr:uid="{00000000-0005-0000-0000-00002D170000}"/>
    <cellStyle name="Note 3 3 2" xfId="5528" xr:uid="{00000000-0005-0000-0000-00002E170000}"/>
    <cellStyle name="Note 3 3 2 10" xfId="5529" xr:uid="{00000000-0005-0000-0000-00002F170000}"/>
    <cellStyle name="Note 3 3 2 11" xfId="5530" xr:uid="{00000000-0005-0000-0000-000030170000}"/>
    <cellStyle name="Note 3 3 2 12" xfId="5531" xr:uid="{00000000-0005-0000-0000-000031170000}"/>
    <cellStyle name="Note 3 3 2 2" xfId="5532" xr:uid="{00000000-0005-0000-0000-000032170000}"/>
    <cellStyle name="Note 3 3 2 3" xfId="5533" xr:uid="{00000000-0005-0000-0000-000033170000}"/>
    <cellStyle name="Note 3 3 2 4" xfId="5534" xr:uid="{00000000-0005-0000-0000-000034170000}"/>
    <cellStyle name="Note 3 3 2 5" xfId="5535" xr:uid="{00000000-0005-0000-0000-000035170000}"/>
    <cellStyle name="Note 3 3 2 6" xfId="5536" xr:uid="{00000000-0005-0000-0000-000036170000}"/>
    <cellStyle name="Note 3 3 2 7" xfId="5537" xr:uid="{00000000-0005-0000-0000-000037170000}"/>
    <cellStyle name="Note 3 3 2 8" xfId="5538" xr:uid="{00000000-0005-0000-0000-000038170000}"/>
    <cellStyle name="Note 3 3 2 9" xfId="5539" xr:uid="{00000000-0005-0000-0000-000039170000}"/>
    <cellStyle name="Note 3 3 2_1 KeyFig" xfId="5540" xr:uid="{00000000-0005-0000-0000-00003A170000}"/>
    <cellStyle name="Note 3 3 3" xfId="5541" xr:uid="{00000000-0005-0000-0000-00003B170000}"/>
    <cellStyle name="Note 3 3 4" xfId="5542" xr:uid="{00000000-0005-0000-0000-00003C170000}"/>
    <cellStyle name="Note 3 3 5" xfId="5543" xr:uid="{00000000-0005-0000-0000-00003D170000}"/>
    <cellStyle name="Note 3 3 6" xfId="5544" xr:uid="{00000000-0005-0000-0000-00003E170000}"/>
    <cellStyle name="Note 3 3 7" xfId="5545" xr:uid="{00000000-0005-0000-0000-00003F170000}"/>
    <cellStyle name="Note 3 3 8" xfId="5546" xr:uid="{00000000-0005-0000-0000-000040170000}"/>
    <cellStyle name="Note 3 3 9" xfId="5547" xr:uid="{00000000-0005-0000-0000-000041170000}"/>
    <cellStyle name="Note 3 3_1 KeyFig" xfId="5548" xr:uid="{00000000-0005-0000-0000-000042170000}"/>
    <cellStyle name="Note 3 4" xfId="5549" xr:uid="{00000000-0005-0000-0000-000043170000}"/>
    <cellStyle name="Note 3 4 2" xfId="5550" xr:uid="{00000000-0005-0000-0000-000044170000}"/>
    <cellStyle name="Note 3 4_1 KeyFig" xfId="5551" xr:uid="{00000000-0005-0000-0000-000045170000}"/>
    <cellStyle name="Note 3 5" xfId="5552" xr:uid="{00000000-0005-0000-0000-000046170000}"/>
    <cellStyle name="Note 3 5 2" xfId="5553" xr:uid="{00000000-0005-0000-0000-000047170000}"/>
    <cellStyle name="Note 3 5_1 KeyFig" xfId="5554" xr:uid="{00000000-0005-0000-0000-000048170000}"/>
    <cellStyle name="Note 3 6" xfId="5555" xr:uid="{00000000-0005-0000-0000-000049170000}"/>
    <cellStyle name="Note 3 6 2" xfId="5556" xr:uid="{00000000-0005-0000-0000-00004A170000}"/>
    <cellStyle name="Note 3 6 3" xfId="5557" xr:uid="{00000000-0005-0000-0000-00004B170000}"/>
    <cellStyle name="Note 3 6_1 KeyFig" xfId="5558" xr:uid="{00000000-0005-0000-0000-00004C170000}"/>
    <cellStyle name="Note 3 7" xfId="5559" xr:uid="{00000000-0005-0000-0000-00004D170000}"/>
    <cellStyle name="Note 3 7 2" xfId="5560" xr:uid="{00000000-0005-0000-0000-00004E170000}"/>
    <cellStyle name="Note 3 7_1 KeyFig" xfId="5561" xr:uid="{00000000-0005-0000-0000-00004F170000}"/>
    <cellStyle name="Note 3 8" xfId="5562" xr:uid="{00000000-0005-0000-0000-000050170000}"/>
    <cellStyle name="Note 3 9" xfId="5563" xr:uid="{00000000-0005-0000-0000-000051170000}"/>
    <cellStyle name="Note 3_1 KeyFig" xfId="5564" xr:uid="{00000000-0005-0000-0000-000052170000}"/>
    <cellStyle name="Note 30" xfId="5565" xr:uid="{00000000-0005-0000-0000-000053170000}"/>
    <cellStyle name="Note 31" xfId="5566" xr:uid="{00000000-0005-0000-0000-000054170000}"/>
    <cellStyle name="Note 32" xfId="5567" xr:uid="{00000000-0005-0000-0000-000055170000}"/>
    <cellStyle name="Note 33" xfId="5568" xr:uid="{00000000-0005-0000-0000-000056170000}"/>
    <cellStyle name="Note 34" xfId="5569" xr:uid="{00000000-0005-0000-0000-000057170000}"/>
    <cellStyle name="Note 4" xfId="364" xr:uid="{00000000-0005-0000-0000-000058170000}"/>
    <cellStyle name="Note 4 2" xfId="365" xr:uid="{00000000-0005-0000-0000-000059170000}"/>
    <cellStyle name="Note 4 2 2" xfId="5570" xr:uid="{00000000-0005-0000-0000-00005A170000}"/>
    <cellStyle name="Note 4 2 3" xfId="5571" xr:uid="{00000000-0005-0000-0000-00005B170000}"/>
    <cellStyle name="Note 4 2 4" xfId="5572" xr:uid="{00000000-0005-0000-0000-00005C170000}"/>
    <cellStyle name="Note 4 2 5" xfId="5573" xr:uid="{00000000-0005-0000-0000-00005D170000}"/>
    <cellStyle name="Note 4 2_1 KeyFig" xfId="5574" xr:uid="{00000000-0005-0000-0000-00005E170000}"/>
    <cellStyle name="Note 4 3" xfId="5575" xr:uid="{00000000-0005-0000-0000-00005F170000}"/>
    <cellStyle name="Note 4 4" xfId="5576" xr:uid="{00000000-0005-0000-0000-000060170000}"/>
    <cellStyle name="Note 4 5" xfId="5577" xr:uid="{00000000-0005-0000-0000-000061170000}"/>
    <cellStyle name="Note 4 6" xfId="5578" xr:uid="{00000000-0005-0000-0000-000062170000}"/>
    <cellStyle name="Note 4_1 KeyFig" xfId="5579" xr:uid="{00000000-0005-0000-0000-000063170000}"/>
    <cellStyle name="Note 5" xfId="366" xr:uid="{00000000-0005-0000-0000-000064170000}"/>
    <cellStyle name="Note 5 2" xfId="5580" xr:uid="{00000000-0005-0000-0000-000065170000}"/>
    <cellStyle name="Note 5 2 2" xfId="5581" xr:uid="{00000000-0005-0000-0000-000066170000}"/>
    <cellStyle name="Note 5 2_1 KeyFig" xfId="5582" xr:uid="{00000000-0005-0000-0000-000067170000}"/>
    <cellStyle name="Note 5 3" xfId="5583" xr:uid="{00000000-0005-0000-0000-000068170000}"/>
    <cellStyle name="Note 5 4" xfId="10999" xr:uid="{2D0549CC-8EEF-4F6E-9887-F0220AC99618}"/>
    <cellStyle name="Note 5_1 KeyFig" xfId="5584" xr:uid="{00000000-0005-0000-0000-000069170000}"/>
    <cellStyle name="Note 6" xfId="5585" xr:uid="{00000000-0005-0000-0000-00006A170000}"/>
    <cellStyle name="Note 6 2" xfId="5586" xr:uid="{00000000-0005-0000-0000-00006B170000}"/>
    <cellStyle name="Note 6 2 2" xfId="5587" xr:uid="{00000000-0005-0000-0000-00006C170000}"/>
    <cellStyle name="Note 6 2_1 KeyFig" xfId="5588" xr:uid="{00000000-0005-0000-0000-00006D170000}"/>
    <cellStyle name="Note 6 3" xfId="5589" xr:uid="{00000000-0005-0000-0000-00006E170000}"/>
    <cellStyle name="Note 6_1 KeyFig" xfId="5590" xr:uid="{00000000-0005-0000-0000-00006F170000}"/>
    <cellStyle name="Note 7" xfId="5591" xr:uid="{00000000-0005-0000-0000-000070170000}"/>
    <cellStyle name="Note 7 2" xfId="5592" xr:uid="{00000000-0005-0000-0000-000071170000}"/>
    <cellStyle name="Note 7_1 KeyFig" xfId="5593" xr:uid="{00000000-0005-0000-0000-000072170000}"/>
    <cellStyle name="Note 8" xfId="5594" xr:uid="{00000000-0005-0000-0000-000073170000}"/>
    <cellStyle name="Note 8 2" xfId="5595" xr:uid="{00000000-0005-0000-0000-000074170000}"/>
    <cellStyle name="Note 8_1 KeyFig" xfId="5596" xr:uid="{00000000-0005-0000-0000-000075170000}"/>
    <cellStyle name="Note 9" xfId="5597" xr:uid="{00000000-0005-0000-0000-000076170000}"/>
    <cellStyle name="Notiz" xfId="11000" xr:uid="{BEE635E5-6997-4A80-9C32-41475C5D3865}"/>
    <cellStyle name="Notiz 2" xfId="11001" xr:uid="{15BD1667-4606-44DA-8BEE-997CD612AED9}"/>
    <cellStyle name="Notiz 2 2" xfId="11002" xr:uid="{55A10129-70C0-44E7-9FE0-B02BA15AAB37}"/>
    <cellStyle name="Notiz 2 3" xfId="11003" xr:uid="{FFA0E40B-1549-419B-844B-286867570072}"/>
    <cellStyle name="Notiz 2_CF" xfId="11004" xr:uid="{091EE92B-032F-4AAA-8D3D-4CEA6C1F2317}"/>
    <cellStyle name="Notiz 3" xfId="11005" xr:uid="{553F49FA-67D7-4036-8003-480DAB76076C}"/>
    <cellStyle name="Notiz 4" xfId="11006" xr:uid="{278DAE09-91B8-43CC-8903-F6BF502CC847}"/>
    <cellStyle name="Notiz_CF" xfId="11007" xr:uid="{8D5EF210-5776-4074-9FA3-80B3CAF33D7E}"/>
    <cellStyle name="number" xfId="367" xr:uid="{00000000-0005-0000-0000-000077170000}"/>
    <cellStyle name="Output 10" xfId="5598" xr:uid="{00000000-0005-0000-0000-000078170000}"/>
    <cellStyle name="Output 11" xfId="5599" xr:uid="{00000000-0005-0000-0000-000079170000}"/>
    <cellStyle name="Output 12" xfId="5600" xr:uid="{00000000-0005-0000-0000-00007A170000}"/>
    <cellStyle name="Output 13" xfId="5601" xr:uid="{00000000-0005-0000-0000-00007B170000}"/>
    <cellStyle name="Output 14" xfId="11008" xr:uid="{2DCD6A70-43AE-4A11-B61C-5C49FD8C4A71}"/>
    <cellStyle name="Output 2" xfId="368" xr:uid="{00000000-0005-0000-0000-00007C170000}"/>
    <cellStyle name="Output 2 10" xfId="5602" xr:uid="{00000000-0005-0000-0000-00007D170000}"/>
    <cellStyle name="Output 2 11" xfId="5603" xr:uid="{00000000-0005-0000-0000-00007E170000}"/>
    <cellStyle name="Output 2 12" xfId="5604" xr:uid="{00000000-0005-0000-0000-00007F170000}"/>
    <cellStyle name="Output 2 13" xfId="5605" xr:uid="{00000000-0005-0000-0000-000080170000}"/>
    <cellStyle name="Output 2 14" xfId="5606" xr:uid="{00000000-0005-0000-0000-000081170000}"/>
    <cellStyle name="Output 2 15" xfId="5607" xr:uid="{00000000-0005-0000-0000-000082170000}"/>
    <cellStyle name="Output 2 16" xfId="5608" xr:uid="{00000000-0005-0000-0000-000083170000}"/>
    <cellStyle name="Output 2 2" xfId="5609" xr:uid="{00000000-0005-0000-0000-000084170000}"/>
    <cellStyle name="Output 2 2 10" xfId="5610" xr:uid="{00000000-0005-0000-0000-000085170000}"/>
    <cellStyle name="Output 2 2 11" xfId="5611" xr:uid="{00000000-0005-0000-0000-000086170000}"/>
    <cellStyle name="Output 2 2 12" xfId="5612" xr:uid="{00000000-0005-0000-0000-000087170000}"/>
    <cellStyle name="Output 2 2 13" xfId="5613" xr:uid="{00000000-0005-0000-0000-000088170000}"/>
    <cellStyle name="Output 2 2 14" xfId="5614" xr:uid="{00000000-0005-0000-0000-000089170000}"/>
    <cellStyle name="Output 2 2 15" xfId="5615" xr:uid="{00000000-0005-0000-0000-00008A170000}"/>
    <cellStyle name="Output 2 2 2" xfId="5616" xr:uid="{00000000-0005-0000-0000-00008B170000}"/>
    <cellStyle name="Output 2 2 2 2" xfId="5617" xr:uid="{00000000-0005-0000-0000-00008C170000}"/>
    <cellStyle name="Output 2 2 2_1 KeyFig" xfId="5618" xr:uid="{00000000-0005-0000-0000-00008D170000}"/>
    <cellStyle name="Output 2 2 3" xfId="5619" xr:uid="{00000000-0005-0000-0000-00008E170000}"/>
    <cellStyle name="Output 2 2 4" xfId="5620" xr:uid="{00000000-0005-0000-0000-00008F170000}"/>
    <cellStyle name="Output 2 2 5" xfId="5621" xr:uid="{00000000-0005-0000-0000-000090170000}"/>
    <cellStyle name="Output 2 2 6" xfId="5622" xr:uid="{00000000-0005-0000-0000-000091170000}"/>
    <cellStyle name="Output 2 2 7" xfId="5623" xr:uid="{00000000-0005-0000-0000-000092170000}"/>
    <cellStyle name="Output 2 2 8" xfId="5624" xr:uid="{00000000-0005-0000-0000-000093170000}"/>
    <cellStyle name="Output 2 2 9" xfId="5625" xr:uid="{00000000-0005-0000-0000-000094170000}"/>
    <cellStyle name="Output 2 2_1 KeyFig" xfId="5626" xr:uid="{00000000-0005-0000-0000-000095170000}"/>
    <cellStyle name="Output 2 3" xfId="5627" xr:uid="{00000000-0005-0000-0000-000096170000}"/>
    <cellStyle name="Output 2 3 2" xfId="5628" xr:uid="{00000000-0005-0000-0000-000097170000}"/>
    <cellStyle name="Output 2 3_1 KeyFig" xfId="5629" xr:uid="{00000000-0005-0000-0000-000098170000}"/>
    <cellStyle name="Output 2 4" xfId="5630" xr:uid="{00000000-0005-0000-0000-000099170000}"/>
    <cellStyle name="Output 2 4 2" xfId="5631" xr:uid="{00000000-0005-0000-0000-00009A170000}"/>
    <cellStyle name="Output 2 4_1 KeyFig" xfId="5632" xr:uid="{00000000-0005-0000-0000-00009B170000}"/>
    <cellStyle name="Output 2 5" xfId="5633" xr:uid="{00000000-0005-0000-0000-00009C170000}"/>
    <cellStyle name="Output 2 6" xfId="5634" xr:uid="{00000000-0005-0000-0000-00009D170000}"/>
    <cellStyle name="Output 2 7" xfId="5635" xr:uid="{00000000-0005-0000-0000-00009E170000}"/>
    <cellStyle name="Output 2 8" xfId="5636" xr:uid="{00000000-0005-0000-0000-00009F170000}"/>
    <cellStyle name="Output 2 8 2" xfId="5637" xr:uid="{00000000-0005-0000-0000-0000A0170000}"/>
    <cellStyle name="Output 2 8_1 KeyFig" xfId="5638" xr:uid="{00000000-0005-0000-0000-0000A1170000}"/>
    <cellStyle name="Output 2 9" xfId="5639" xr:uid="{00000000-0005-0000-0000-0000A2170000}"/>
    <cellStyle name="Output 2_1 KeyFig" xfId="5640" xr:uid="{00000000-0005-0000-0000-0000A3170000}"/>
    <cellStyle name="Output 3" xfId="369" xr:uid="{00000000-0005-0000-0000-0000A4170000}"/>
    <cellStyle name="Output 3 2" xfId="5641" xr:uid="{00000000-0005-0000-0000-0000A5170000}"/>
    <cellStyle name="Output 3 2 2" xfId="5642" xr:uid="{00000000-0005-0000-0000-0000A6170000}"/>
    <cellStyle name="Output 3 2 3" xfId="5643" xr:uid="{00000000-0005-0000-0000-0000A7170000}"/>
    <cellStyle name="Output 3 2_1 KeyFig" xfId="5644" xr:uid="{00000000-0005-0000-0000-0000A8170000}"/>
    <cellStyle name="Output 3 3" xfId="5645" xr:uid="{00000000-0005-0000-0000-0000A9170000}"/>
    <cellStyle name="Output 3 3 2" xfId="5646" xr:uid="{00000000-0005-0000-0000-0000AA170000}"/>
    <cellStyle name="Output 3 3_Adjusted bridges" xfId="11450" xr:uid="{BB8C552D-472A-4A4A-98D3-60CFEDBB2BB9}"/>
    <cellStyle name="Output 3 4" xfId="5647" xr:uid="{00000000-0005-0000-0000-0000AC170000}"/>
    <cellStyle name="Output 3 5" xfId="5648" xr:uid="{00000000-0005-0000-0000-0000AD170000}"/>
    <cellStyle name="Output 3 6" xfId="5649" xr:uid="{00000000-0005-0000-0000-0000AE170000}"/>
    <cellStyle name="Output 3 7" xfId="5650" xr:uid="{00000000-0005-0000-0000-0000AF170000}"/>
    <cellStyle name="Output 3 8" xfId="5651" xr:uid="{00000000-0005-0000-0000-0000B0170000}"/>
    <cellStyle name="Output 3 9" xfId="5652" xr:uid="{00000000-0005-0000-0000-0000B1170000}"/>
    <cellStyle name="Output 3_1 KeyFig" xfId="5653" xr:uid="{00000000-0005-0000-0000-0000B2170000}"/>
    <cellStyle name="Output 4" xfId="370" xr:uid="{00000000-0005-0000-0000-0000B3170000}"/>
    <cellStyle name="Output 4 2" xfId="5654" xr:uid="{00000000-0005-0000-0000-0000B4170000}"/>
    <cellStyle name="Output 4_1 KeyFig" xfId="5655" xr:uid="{00000000-0005-0000-0000-0000B5170000}"/>
    <cellStyle name="Output 5" xfId="371" xr:uid="{00000000-0005-0000-0000-0000B6170000}"/>
    <cellStyle name="Output 6" xfId="5656" xr:uid="{00000000-0005-0000-0000-0000B7170000}"/>
    <cellStyle name="Output 7" xfId="5657" xr:uid="{00000000-0005-0000-0000-0000B8170000}"/>
    <cellStyle name="Output 8" xfId="5658" xr:uid="{00000000-0005-0000-0000-0000B9170000}"/>
    <cellStyle name="Output 9" xfId="5659" xr:uid="{00000000-0005-0000-0000-0000BA170000}"/>
    <cellStyle name="Percent" xfId="1" builtinId="5"/>
    <cellStyle name="Percent [2]" xfId="373" xr:uid="{00000000-0005-0000-0000-0000BC170000}"/>
    <cellStyle name="Percent [2] 2" xfId="374" xr:uid="{00000000-0005-0000-0000-0000BD170000}"/>
    <cellStyle name="Percent [2] 2 2" xfId="5660" xr:uid="{00000000-0005-0000-0000-0000BE170000}"/>
    <cellStyle name="Percent [2] 2 2 2" xfId="5661" xr:uid="{00000000-0005-0000-0000-0000BF170000}"/>
    <cellStyle name="Percent [2] 2 2_1 KeyFig" xfId="5662" xr:uid="{00000000-0005-0000-0000-0000C0170000}"/>
    <cellStyle name="Percent [2] 2 3" xfId="5663" xr:uid="{00000000-0005-0000-0000-0000C1170000}"/>
    <cellStyle name="Percent [2] 2_1 KeyFig" xfId="5664" xr:uid="{00000000-0005-0000-0000-0000C2170000}"/>
    <cellStyle name="Percent [2] 3" xfId="5665" xr:uid="{00000000-0005-0000-0000-0000C3170000}"/>
    <cellStyle name="Percent [2] 3 2" xfId="5666" xr:uid="{00000000-0005-0000-0000-0000C4170000}"/>
    <cellStyle name="Percent [2] 3 2 2" xfId="5667" xr:uid="{00000000-0005-0000-0000-0000C5170000}"/>
    <cellStyle name="Percent [2] 3 2_1 KeyFig" xfId="5668" xr:uid="{00000000-0005-0000-0000-0000C6170000}"/>
    <cellStyle name="Percent [2] 3 3" xfId="5669" xr:uid="{00000000-0005-0000-0000-0000C7170000}"/>
    <cellStyle name="Percent [2] 3_1 KeyFig" xfId="5670" xr:uid="{00000000-0005-0000-0000-0000C8170000}"/>
    <cellStyle name="Percent [2] 4" xfId="5671" xr:uid="{00000000-0005-0000-0000-0000C9170000}"/>
    <cellStyle name="Percent [2] 4 2" xfId="5672" xr:uid="{00000000-0005-0000-0000-0000CA170000}"/>
    <cellStyle name="Percent [2] 4_1 KeyFig" xfId="5673" xr:uid="{00000000-0005-0000-0000-0000CB170000}"/>
    <cellStyle name="Percent [2] 5" xfId="5674" xr:uid="{00000000-0005-0000-0000-0000CC170000}"/>
    <cellStyle name="Percent [2] 6" xfId="11009" xr:uid="{F9B14CF3-CB0A-4D59-BDCE-9AAFADA27D4B}"/>
    <cellStyle name="Percent [2] 6 2" xfId="11010" xr:uid="{924A2700-B2A5-4E5D-9BF5-D1819634F82A}"/>
    <cellStyle name="Percent [2] 6_CF" xfId="11011" xr:uid="{2EEFBAB6-47DA-4502-8B9D-D43C6CE283C7}"/>
    <cellStyle name="Percent [2]_1 KeyFig" xfId="5675" xr:uid="{00000000-0005-0000-0000-0000CD170000}"/>
    <cellStyle name="Percent 10" xfId="375" xr:uid="{00000000-0005-0000-0000-0000CE170000}"/>
    <cellStyle name="Percent 10 2" xfId="5676" xr:uid="{00000000-0005-0000-0000-0000CF170000}"/>
    <cellStyle name="Percent 10_1 KeyFig" xfId="5677" xr:uid="{00000000-0005-0000-0000-0000D0170000}"/>
    <cellStyle name="Percent 11" xfId="376" xr:uid="{00000000-0005-0000-0000-0000D1170000}"/>
    <cellStyle name="Percent 11 2" xfId="5678" xr:uid="{00000000-0005-0000-0000-0000D2170000}"/>
    <cellStyle name="Percent 11_1 KeyFig" xfId="5679" xr:uid="{00000000-0005-0000-0000-0000D3170000}"/>
    <cellStyle name="Percent 12" xfId="377" xr:uid="{00000000-0005-0000-0000-0000D4170000}"/>
    <cellStyle name="Percent 12 2" xfId="5680" xr:uid="{00000000-0005-0000-0000-0000D5170000}"/>
    <cellStyle name="Percent 12_1 KeyFig" xfId="5681" xr:uid="{00000000-0005-0000-0000-0000D6170000}"/>
    <cellStyle name="Percent 13" xfId="378" xr:uid="{00000000-0005-0000-0000-0000D7170000}"/>
    <cellStyle name="Percent 13 2" xfId="5682" xr:uid="{00000000-0005-0000-0000-0000D8170000}"/>
    <cellStyle name="Percent 13_1 KeyFig" xfId="5683" xr:uid="{00000000-0005-0000-0000-0000D9170000}"/>
    <cellStyle name="Percent 14" xfId="379" xr:uid="{00000000-0005-0000-0000-0000DA170000}"/>
    <cellStyle name="Percent 14 2" xfId="5684" xr:uid="{00000000-0005-0000-0000-0000DB170000}"/>
    <cellStyle name="Percent 14_1 KeyFig" xfId="5685" xr:uid="{00000000-0005-0000-0000-0000DC170000}"/>
    <cellStyle name="Percent 15" xfId="380" xr:uid="{00000000-0005-0000-0000-0000DD170000}"/>
    <cellStyle name="Percent 15 2" xfId="5686" xr:uid="{00000000-0005-0000-0000-0000DE170000}"/>
    <cellStyle name="Percent 15_1 KeyFig" xfId="5687" xr:uid="{00000000-0005-0000-0000-0000DF170000}"/>
    <cellStyle name="Percent 16" xfId="381" xr:uid="{00000000-0005-0000-0000-0000E0170000}"/>
    <cellStyle name="Percent 16 2" xfId="5688" xr:uid="{00000000-0005-0000-0000-0000E1170000}"/>
    <cellStyle name="Percent 16_1 KeyFig" xfId="5689" xr:uid="{00000000-0005-0000-0000-0000E2170000}"/>
    <cellStyle name="Percent 17" xfId="382" xr:uid="{00000000-0005-0000-0000-0000E3170000}"/>
    <cellStyle name="Percent 17 2" xfId="5690" xr:uid="{00000000-0005-0000-0000-0000E4170000}"/>
    <cellStyle name="Percent 17_1 KeyFig" xfId="5691" xr:uid="{00000000-0005-0000-0000-0000E5170000}"/>
    <cellStyle name="Percent 18" xfId="383" xr:uid="{00000000-0005-0000-0000-0000E6170000}"/>
    <cellStyle name="Percent 18 2" xfId="5692" xr:uid="{00000000-0005-0000-0000-0000E7170000}"/>
    <cellStyle name="Percent 18_1 KeyFig" xfId="5693" xr:uid="{00000000-0005-0000-0000-0000E8170000}"/>
    <cellStyle name="Percent 19" xfId="384" xr:uid="{00000000-0005-0000-0000-0000E9170000}"/>
    <cellStyle name="Percent 19 2" xfId="5694" xr:uid="{00000000-0005-0000-0000-0000EA170000}"/>
    <cellStyle name="Percent 19_1 KeyFig" xfId="5695" xr:uid="{00000000-0005-0000-0000-0000EB170000}"/>
    <cellStyle name="Percent 2" xfId="11" xr:uid="{00000000-0005-0000-0000-0000EC170000}"/>
    <cellStyle name="Percent 2 10" xfId="5696" xr:uid="{00000000-0005-0000-0000-0000ED170000}"/>
    <cellStyle name="Percent 2 2" xfId="5697" xr:uid="{00000000-0005-0000-0000-0000EE170000}"/>
    <cellStyle name="Percent 2 2 2" xfId="5698" xr:uid="{00000000-0005-0000-0000-0000EF170000}"/>
    <cellStyle name="Percent 2 2 2 2" xfId="5699" xr:uid="{00000000-0005-0000-0000-0000F0170000}"/>
    <cellStyle name="Percent 2 2 2 2 2" xfId="5700" xr:uid="{00000000-0005-0000-0000-0000F1170000}"/>
    <cellStyle name="Percent 2 2 2 2 3" xfId="5701" xr:uid="{00000000-0005-0000-0000-0000F2170000}"/>
    <cellStyle name="Percent 2 2 2 2_Adjusted bridges" xfId="11451" xr:uid="{15D3768E-6D89-4C11-88CF-1D3078B38243}"/>
    <cellStyle name="Percent 2 2 2 3" xfId="5702" xr:uid="{00000000-0005-0000-0000-0000F4170000}"/>
    <cellStyle name="Percent 2 2 2 3 2" xfId="5703" xr:uid="{00000000-0005-0000-0000-0000F5170000}"/>
    <cellStyle name="Percent 2 2 2 3 3" xfId="5704" xr:uid="{00000000-0005-0000-0000-0000F6170000}"/>
    <cellStyle name="Percent 2 2 2 3_Adjusted bridges" xfId="11452" xr:uid="{517F899E-D091-454C-B5A7-F08FEC3890BB}"/>
    <cellStyle name="Percent 2 2 2 4" xfId="5705" xr:uid="{00000000-0005-0000-0000-0000F8170000}"/>
    <cellStyle name="Percent 2 2 2 5" xfId="5706" xr:uid="{00000000-0005-0000-0000-0000F9170000}"/>
    <cellStyle name="Percent 2 2 2 6" xfId="5707" xr:uid="{00000000-0005-0000-0000-0000FA170000}"/>
    <cellStyle name="Percent 2 2 2_1 KeyFig" xfId="5708" xr:uid="{00000000-0005-0000-0000-0000FB170000}"/>
    <cellStyle name="Percent 2 2 3" xfId="5709" xr:uid="{00000000-0005-0000-0000-0000FC170000}"/>
    <cellStyle name="Percent 2 2 3 2" xfId="5710" xr:uid="{00000000-0005-0000-0000-0000FD170000}"/>
    <cellStyle name="Percent 2 2 3 3" xfId="5711" xr:uid="{00000000-0005-0000-0000-0000FE170000}"/>
    <cellStyle name="Percent 2 2 3 4" xfId="5712" xr:uid="{00000000-0005-0000-0000-0000FF170000}"/>
    <cellStyle name="Percent 2 2 3_1 KeyFig" xfId="5713" xr:uid="{00000000-0005-0000-0000-000000180000}"/>
    <cellStyle name="Percent 2 2 4" xfId="5714" xr:uid="{00000000-0005-0000-0000-000001180000}"/>
    <cellStyle name="Percent 2 2 4 2" xfId="5715" xr:uid="{00000000-0005-0000-0000-000002180000}"/>
    <cellStyle name="Percent 2 2 4 3" xfId="5716" xr:uid="{00000000-0005-0000-0000-000003180000}"/>
    <cellStyle name="Percent 2 2 4 4" xfId="5717" xr:uid="{00000000-0005-0000-0000-000004180000}"/>
    <cellStyle name="Percent 2 2 4_1 KeyFig" xfId="5718" xr:uid="{00000000-0005-0000-0000-000005180000}"/>
    <cellStyle name="Percent 2 2 5" xfId="5719" xr:uid="{00000000-0005-0000-0000-000006180000}"/>
    <cellStyle name="Percent 2 2 5 2" xfId="5720" xr:uid="{00000000-0005-0000-0000-000007180000}"/>
    <cellStyle name="Percent 2 2 5_1 KeyFig" xfId="5721" xr:uid="{00000000-0005-0000-0000-000008180000}"/>
    <cellStyle name="Percent 2 2 6" xfId="5722" xr:uid="{00000000-0005-0000-0000-000009180000}"/>
    <cellStyle name="Percent 2 2 7" xfId="5723" xr:uid="{00000000-0005-0000-0000-00000A180000}"/>
    <cellStyle name="Percent 2 2 8" xfId="5724" xr:uid="{00000000-0005-0000-0000-00000B180000}"/>
    <cellStyle name="Percent 2 2_1 KeyFig" xfId="5725" xr:uid="{00000000-0005-0000-0000-00000C180000}"/>
    <cellStyle name="Percent 2 3" xfId="5726" xr:uid="{00000000-0005-0000-0000-00000D180000}"/>
    <cellStyle name="Percent 2 3 2" xfId="5727" xr:uid="{00000000-0005-0000-0000-00000E180000}"/>
    <cellStyle name="Percent 2 3 2 2" xfId="5728" xr:uid="{00000000-0005-0000-0000-00000F180000}"/>
    <cellStyle name="Percent 2 3 2 3" xfId="5729" xr:uid="{00000000-0005-0000-0000-000010180000}"/>
    <cellStyle name="Percent 2 3 2_1 KeyFig" xfId="5730" xr:uid="{00000000-0005-0000-0000-000011180000}"/>
    <cellStyle name="Percent 2 3 3" xfId="5731" xr:uid="{00000000-0005-0000-0000-000012180000}"/>
    <cellStyle name="Percent 2 3 3 2" xfId="5732" xr:uid="{00000000-0005-0000-0000-000013180000}"/>
    <cellStyle name="Percent 2 3 3 3" xfId="5733" xr:uid="{00000000-0005-0000-0000-000014180000}"/>
    <cellStyle name="Percent 2 3 3_Adjusted bridges" xfId="11453" xr:uid="{48E7FAF7-5E31-4BFC-ADE0-045488B234DF}"/>
    <cellStyle name="Percent 2 3 4" xfId="5734" xr:uid="{00000000-0005-0000-0000-000016180000}"/>
    <cellStyle name="Percent 2 3 5" xfId="5735" xr:uid="{00000000-0005-0000-0000-000017180000}"/>
    <cellStyle name="Percent 2 3 6" xfId="5736" xr:uid="{00000000-0005-0000-0000-000018180000}"/>
    <cellStyle name="Percent 2 3 7" xfId="5737" xr:uid="{00000000-0005-0000-0000-000019180000}"/>
    <cellStyle name="Percent 2 3 8" xfId="5738" xr:uid="{00000000-0005-0000-0000-00001A180000}"/>
    <cellStyle name="Percent 2 3_1 KeyFig" xfId="5739" xr:uid="{00000000-0005-0000-0000-00001B180000}"/>
    <cellStyle name="Percent 2 4" xfId="5740" xr:uid="{00000000-0005-0000-0000-00001C180000}"/>
    <cellStyle name="Percent 2 4 2" xfId="5741" xr:uid="{00000000-0005-0000-0000-00001D180000}"/>
    <cellStyle name="Percent 2 4 3" xfId="5742" xr:uid="{00000000-0005-0000-0000-00001E180000}"/>
    <cellStyle name="Percent 2 4 4" xfId="5743" xr:uid="{00000000-0005-0000-0000-00001F180000}"/>
    <cellStyle name="Percent 2 4 5" xfId="5744" xr:uid="{00000000-0005-0000-0000-000020180000}"/>
    <cellStyle name="Percent 2 4_1 KeyFig" xfId="5745" xr:uid="{00000000-0005-0000-0000-000021180000}"/>
    <cellStyle name="Percent 2 5" xfId="5746" xr:uid="{00000000-0005-0000-0000-000022180000}"/>
    <cellStyle name="Percent 2 5 2" xfId="5747" xr:uid="{00000000-0005-0000-0000-000023180000}"/>
    <cellStyle name="Percent 2 5 3" xfId="5748" xr:uid="{00000000-0005-0000-0000-000024180000}"/>
    <cellStyle name="Percent 2 5_1 KeyFig" xfId="5749" xr:uid="{00000000-0005-0000-0000-000025180000}"/>
    <cellStyle name="Percent 2 6" xfId="5750" xr:uid="{00000000-0005-0000-0000-000026180000}"/>
    <cellStyle name="Percent 2 7" xfId="5751" xr:uid="{00000000-0005-0000-0000-000027180000}"/>
    <cellStyle name="Percent 2 8" xfId="5752" xr:uid="{00000000-0005-0000-0000-000028180000}"/>
    <cellStyle name="Percent 2 9" xfId="5753" xr:uid="{00000000-0005-0000-0000-000029180000}"/>
    <cellStyle name="Percent 2_1 KeyFig" xfId="5754" xr:uid="{00000000-0005-0000-0000-00002A180000}"/>
    <cellStyle name="Percent 20" xfId="386" xr:uid="{00000000-0005-0000-0000-00002B180000}"/>
    <cellStyle name="Percent 21" xfId="387" xr:uid="{00000000-0005-0000-0000-00002C180000}"/>
    <cellStyle name="Percent 22" xfId="388" xr:uid="{00000000-0005-0000-0000-00002D180000}"/>
    <cellStyle name="Percent 23" xfId="389" xr:uid="{00000000-0005-0000-0000-00002E180000}"/>
    <cellStyle name="Percent 24" xfId="390" xr:uid="{00000000-0005-0000-0000-00002F180000}"/>
    <cellStyle name="Percent 25" xfId="391" xr:uid="{00000000-0005-0000-0000-000030180000}"/>
    <cellStyle name="Percent 26" xfId="392" xr:uid="{00000000-0005-0000-0000-000031180000}"/>
    <cellStyle name="Percent 27" xfId="393" xr:uid="{00000000-0005-0000-0000-000032180000}"/>
    <cellStyle name="Percent 28" xfId="394" xr:uid="{00000000-0005-0000-0000-000033180000}"/>
    <cellStyle name="Percent 29" xfId="395" xr:uid="{00000000-0005-0000-0000-000034180000}"/>
    <cellStyle name="Percent 3" xfId="396" xr:uid="{00000000-0005-0000-0000-000035180000}"/>
    <cellStyle name="Percent 3 2" xfId="5755" xr:uid="{00000000-0005-0000-0000-000036180000}"/>
    <cellStyle name="Percent 3 2 2" xfId="5756" xr:uid="{00000000-0005-0000-0000-000037180000}"/>
    <cellStyle name="Percent 3 2 3" xfId="5757" xr:uid="{00000000-0005-0000-0000-000038180000}"/>
    <cellStyle name="Percent 3 2 4" xfId="5758" xr:uid="{00000000-0005-0000-0000-000039180000}"/>
    <cellStyle name="Percent 3 2_1 KeyFig" xfId="5759" xr:uid="{00000000-0005-0000-0000-00003A180000}"/>
    <cellStyle name="Percent 3 3" xfId="5760" xr:uid="{00000000-0005-0000-0000-00003B180000}"/>
    <cellStyle name="Percent 3 3 2" xfId="5761" xr:uid="{00000000-0005-0000-0000-00003C180000}"/>
    <cellStyle name="Percent 3 3 3" xfId="5762" xr:uid="{00000000-0005-0000-0000-00003D180000}"/>
    <cellStyle name="Percent 3 3_1 KeyFig" xfId="5763" xr:uid="{00000000-0005-0000-0000-00003E180000}"/>
    <cellStyle name="Percent 3 4" xfId="5764" xr:uid="{00000000-0005-0000-0000-00003F180000}"/>
    <cellStyle name="Percent 3 5" xfId="5765" xr:uid="{00000000-0005-0000-0000-000040180000}"/>
    <cellStyle name="Percent 3 6" xfId="5766" xr:uid="{00000000-0005-0000-0000-000041180000}"/>
    <cellStyle name="Percent 3_1 KeyFig" xfId="5767" xr:uid="{00000000-0005-0000-0000-000042180000}"/>
    <cellStyle name="Percent 30" xfId="397" xr:uid="{00000000-0005-0000-0000-000043180000}"/>
    <cellStyle name="Percent 31" xfId="398" xr:uid="{00000000-0005-0000-0000-000044180000}"/>
    <cellStyle name="Percent 32" xfId="399" xr:uid="{00000000-0005-0000-0000-000045180000}"/>
    <cellStyle name="Percent 33" xfId="400" xr:uid="{00000000-0005-0000-0000-000046180000}"/>
    <cellStyle name="Percent 34" xfId="401" xr:uid="{00000000-0005-0000-0000-000047180000}"/>
    <cellStyle name="Percent 35" xfId="402" xr:uid="{00000000-0005-0000-0000-000048180000}"/>
    <cellStyle name="Percent 36" xfId="403" xr:uid="{00000000-0005-0000-0000-000049180000}"/>
    <cellStyle name="Percent 37" xfId="404" xr:uid="{00000000-0005-0000-0000-00004A180000}"/>
    <cellStyle name="Percent 38" xfId="405" xr:uid="{00000000-0005-0000-0000-00004B180000}"/>
    <cellStyle name="Percent 39" xfId="406" xr:uid="{00000000-0005-0000-0000-00004C180000}"/>
    <cellStyle name="Percent 4" xfId="407" xr:uid="{00000000-0005-0000-0000-00004D180000}"/>
    <cellStyle name="Percent 4 2" xfId="5768" xr:uid="{00000000-0005-0000-0000-00004E180000}"/>
    <cellStyle name="Percent 4 3" xfId="5769" xr:uid="{00000000-0005-0000-0000-00004F180000}"/>
    <cellStyle name="Percent 4 4" xfId="5770" xr:uid="{00000000-0005-0000-0000-000050180000}"/>
    <cellStyle name="Percent 4_1 KeyFig" xfId="5771" xr:uid="{00000000-0005-0000-0000-000051180000}"/>
    <cellStyle name="Percent 40" xfId="408" xr:uid="{00000000-0005-0000-0000-000052180000}"/>
    <cellStyle name="Percent 41" xfId="409" xr:uid="{00000000-0005-0000-0000-000053180000}"/>
    <cellStyle name="Percent 42" xfId="410" xr:uid="{00000000-0005-0000-0000-000054180000}"/>
    <cellStyle name="Percent 43" xfId="372" xr:uid="{00000000-0005-0000-0000-000055180000}"/>
    <cellStyle name="Percent 44" xfId="521" xr:uid="{00000000-0005-0000-0000-000056180000}"/>
    <cellStyle name="Percent 45" xfId="5772" xr:uid="{00000000-0005-0000-0000-000057180000}"/>
    <cellStyle name="Percent 46" xfId="5773" xr:uid="{00000000-0005-0000-0000-000058180000}"/>
    <cellStyle name="Percent 47" xfId="5774" xr:uid="{00000000-0005-0000-0000-000059180000}"/>
    <cellStyle name="Percent 48" xfId="5775" xr:uid="{00000000-0005-0000-0000-00005A180000}"/>
    <cellStyle name="Percent 49" xfId="5776" xr:uid="{00000000-0005-0000-0000-00005B180000}"/>
    <cellStyle name="Percent 5" xfId="411" xr:uid="{00000000-0005-0000-0000-00005C180000}"/>
    <cellStyle name="Percent 5 2" xfId="5777" xr:uid="{00000000-0005-0000-0000-00005D180000}"/>
    <cellStyle name="Percent 5 3" xfId="5778" xr:uid="{00000000-0005-0000-0000-00005E180000}"/>
    <cellStyle name="Percent 5_1 KeyFig" xfId="5779" xr:uid="{00000000-0005-0000-0000-00005F180000}"/>
    <cellStyle name="Percent 50" xfId="5780" xr:uid="{00000000-0005-0000-0000-000060180000}"/>
    <cellStyle name="Percent 6" xfId="412" xr:uid="{00000000-0005-0000-0000-000061180000}"/>
    <cellStyle name="Percent 6 10" xfId="5781" xr:uid="{00000000-0005-0000-0000-000062180000}"/>
    <cellStyle name="Percent 6 11" xfId="5782" xr:uid="{00000000-0005-0000-0000-000063180000}"/>
    <cellStyle name="Percent 6 12" xfId="5783" xr:uid="{00000000-0005-0000-0000-000064180000}"/>
    <cellStyle name="Percent 6 2" xfId="5784" xr:uid="{00000000-0005-0000-0000-000065180000}"/>
    <cellStyle name="Percent 6 3" xfId="5785" xr:uid="{00000000-0005-0000-0000-000066180000}"/>
    <cellStyle name="Percent 6 4" xfId="5786" xr:uid="{00000000-0005-0000-0000-000067180000}"/>
    <cellStyle name="Percent 6 5" xfId="5787" xr:uid="{00000000-0005-0000-0000-000068180000}"/>
    <cellStyle name="Percent 6 6" xfId="5788" xr:uid="{00000000-0005-0000-0000-000069180000}"/>
    <cellStyle name="Percent 6 7" xfId="5789" xr:uid="{00000000-0005-0000-0000-00006A180000}"/>
    <cellStyle name="Percent 6 8" xfId="5790" xr:uid="{00000000-0005-0000-0000-00006B180000}"/>
    <cellStyle name="Percent 6 9" xfId="5791" xr:uid="{00000000-0005-0000-0000-00006C180000}"/>
    <cellStyle name="Percent 6_1 KeyFig" xfId="5792" xr:uid="{00000000-0005-0000-0000-00006D180000}"/>
    <cellStyle name="Percent 7" xfId="413" xr:uid="{00000000-0005-0000-0000-00006E180000}"/>
    <cellStyle name="Percent 7 2" xfId="5793" xr:uid="{00000000-0005-0000-0000-00006F180000}"/>
    <cellStyle name="Percent 7_1 KeyFig" xfId="5794" xr:uid="{00000000-0005-0000-0000-000070180000}"/>
    <cellStyle name="Percent 8" xfId="414" xr:uid="{00000000-0005-0000-0000-000071180000}"/>
    <cellStyle name="Percent 8 2" xfId="5795" xr:uid="{00000000-0005-0000-0000-000072180000}"/>
    <cellStyle name="Percent 8_1 KeyFig" xfId="5796" xr:uid="{00000000-0005-0000-0000-000073180000}"/>
    <cellStyle name="Percent 9" xfId="415" xr:uid="{00000000-0005-0000-0000-000074180000}"/>
    <cellStyle name="Percent 9 2" xfId="5797" xr:uid="{00000000-0005-0000-0000-000075180000}"/>
    <cellStyle name="Percent 9_1 KeyFig" xfId="5798" xr:uid="{00000000-0005-0000-0000-000076180000}"/>
    <cellStyle name="Porcentagem 2" xfId="11012" xr:uid="{BAB827E3-9237-44DD-A6E6-6F7A711E807D}"/>
    <cellStyle name="Porcentagem 3" xfId="11013" xr:uid="{130AC009-81B2-4A05-816D-9B34DF1F47B0}"/>
    <cellStyle name="Porcentaje 2" xfId="11014" xr:uid="{86D72C4E-36BA-4B44-939D-7AAE02A36FC1}"/>
    <cellStyle name="Porcentual 2" xfId="11015" xr:uid="{194DE6CD-98C4-4F50-8070-EF6F7F586FB4}"/>
    <cellStyle name="Porcentual 2 2" xfId="11016" xr:uid="{5BD16C63-B5C4-4F91-9843-3102E2B94B8D}"/>
    <cellStyle name="Porcentual 2_CF" xfId="11017" xr:uid="{4BA0D22E-5E98-4C22-849C-4663742B7B84}"/>
    <cellStyle name="Pourcentage 2" xfId="11018" xr:uid="{37D79AE1-8F63-448C-BA74-7400CB65783B}"/>
    <cellStyle name="Pourcentage 2 2" xfId="11019" xr:uid="{9A73DCD1-ECCB-4AF9-808D-08F65D920725}"/>
    <cellStyle name="Pourcentage 2 3" xfId="11020" xr:uid="{FFF30AC6-A981-476E-AD0C-9AA409331AB9}"/>
    <cellStyle name="Pourcentage 2 4" xfId="11021" xr:uid="{341CA6AF-5B19-44A1-8D2B-B0B5BF1C12BB}"/>
    <cellStyle name="Pourcentage 2_Australia Results" xfId="11022" xr:uid="{16D24239-D302-4097-BEEF-65F9093AB5A1}"/>
    <cellStyle name="Prozent 2" xfId="11023" xr:uid="{2C293934-6090-4A69-BE8F-7ABD559914C3}"/>
    <cellStyle name="Prozent 3" xfId="11024" xr:uid="{E8C15393-5920-46BB-8ABE-A7932E505FFA}"/>
    <cellStyle name="PSChar" xfId="5799" xr:uid="{00000000-0005-0000-0000-000077180000}"/>
    <cellStyle name="Radrubrik" xfId="416" xr:uid="{00000000-0005-0000-0000-000078180000}"/>
    <cellStyle name="Radtext" xfId="417" xr:uid="{00000000-0005-0000-0000-000079180000}"/>
    <cellStyle name="Randig" xfId="418" xr:uid="{00000000-0005-0000-0000-00007A180000}"/>
    <cellStyle name="Randig 2" xfId="5800" xr:uid="{00000000-0005-0000-0000-00007B180000}"/>
    <cellStyle name="Randig 3" xfId="5801" xr:uid="{00000000-0005-0000-0000-00007C180000}"/>
    <cellStyle name="Randig 3 2" xfId="5802" xr:uid="{00000000-0005-0000-0000-00007D180000}"/>
    <cellStyle name="Randig 3_1 KeyFig" xfId="5803" xr:uid="{00000000-0005-0000-0000-00007E180000}"/>
    <cellStyle name="Randig_1 KeyFig" xfId="5804" xr:uid="{00000000-0005-0000-0000-00007F180000}"/>
    <cellStyle name="Resultat" xfId="419" xr:uid="{00000000-0005-0000-0000-000080180000}"/>
    <cellStyle name="Resultat 2" xfId="420" xr:uid="{00000000-0005-0000-0000-000081180000}"/>
    <cellStyle name="Resultat 3" xfId="421" xr:uid="{00000000-0005-0000-0000-000082180000}"/>
    <cellStyle name="Resultat_1 KeyFig" xfId="5805" xr:uid="{00000000-0005-0000-0000-000083180000}"/>
    <cellStyle name="RevList" xfId="422" xr:uid="{00000000-0005-0000-0000-000084180000}"/>
    <cellStyle name="Rubrik_Linje" xfId="5806" xr:uid="{00000000-0005-0000-0000-000085180000}"/>
    <cellStyle name="Rubrik1" xfId="423" xr:uid="{00000000-0005-0000-0000-000086180000}"/>
    <cellStyle name="Rubrik1 2" xfId="5807" xr:uid="{00000000-0005-0000-0000-000087180000}"/>
    <cellStyle name="Rubrik1 3" xfId="5808" xr:uid="{00000000-0005-0000-0000-000088180000}"/>
    <cellStyle name="Rubrik1 4" xfId="5809" xr:uid="{00000000-0005-0000-0000-000089180000}"/>
    <cellStyle name="Rubrik1 5" xfId="5810" xr:uid="{00000000-0005-0000-0000-00008A180000}"/>
    <cellStyle name="Rubrik1_1 KeyFig" xfId="5811" xr:uid="{00000000-0005-0000-0000-00008B180000}"/>
    <cellStyle name="Rubrik2" xfId="5812" xr:uid="{00000000-0005-0000-0000-00008C180000}"/>
    <cellStyle name="Rubrik3" xfId="5813" xr:uid="{00000000-0005-0000-0000-00008D180000}"/>
    <cellStyle name="Saída" xfId="11025" xr:uid="{FE75FC68-E0D1-4404-8B43-7D641895A422}"/>
    <cellStyle name="Salida" xfId="11026" xr:uid="{96E3E719-8353-4BCF-803B-2F5DDE5AD1F1}"/>
    <cellStyle name="SAPBEXaggData" xfId="424" xr:uid="{00000000-0005-0000-0000-00008E180000}"/>
    <cellStyle name="SAPBEXaggDataEmph" xfId="425" xr:uid="{00000000-0005-0000-0000-00008F180000}"/>
    <cellStyle name="SAPBEXaggDataEmph 2" xfId="5814" xr:uid="{00000000-0005-0000-0000-000090180000}"/>
    <cellStyle name="SAPBEXaggDataEmph 3" xfId="5815" xr:uid="{00000000-0005-0000-0000-000091180000}"/>
    <cellStyle name="SAPBEXaggDataEmph_1 KeyFig" xfId="5816" xr:uid="{00000000-0005-0000-0000-000092180000}"/>
    <cellStyle name="SAPBEXaggItem" xfId="426" xr:uid="{00000000-0005-0000-0000-000093180000}"/>
    <cellStyle name="SAPBEXaggItem 2" xfId="5817" xr:uid="{00000000-0005-0000-0000-000094180000}"/>
    <cellStyle name="SAPBEXaggItem 3" xfId="5818" xr:uid="{00000000-0005-0000-0000-000095180000}"/>
    <cellStyle name="SAPBEXaggItem_1 KeyFig" xfId="5819" xr:uid="{00000000-0005-0000-0000-000096180000}"/>
    <cellStyle name="SAPBEXaggItemX" xfId="427" xr:uid="{00000000-0005-0000-0000-000097180000}"/>
    <cellStyle name="SAPBEXaggItemX 2" xfId="5820" xr:uid="{00000000-0005-0000-0000-000098180000}"/>
    <cellStyle name="SAPBEXaggItemX 3" xfId="5821" xr:uid="{00000000-0005-0000-0000-000099180000}"/>
    <cellStyle name="SAPBEXaggItemX_1 KeyFig" xfId="5822" xr:uid="{00000000-0005-0000-0000-00009A180000}"/>
    <cellStyle name="SAPBEXchaText" xfId="428" xr:uid="{00000000-0005-0000-0000-00009B180000}"/>
    <cellStyle name="SAPBEXchaText 2" xfId="5823" xr:uid="{00000000-0005-0000-0000-00009C180000}"/>
    <cellStyle name="SAPBEXchaText 3" xfId="5824" xr:uid="{00000000-0005-0000-0000-00009D180000}"/>
    <cellStyle name="SAPBEXchaText_1 KeyFig" xfId="5825" xr:uid="{00000000-0005-0000-0000-00009E180000}"/>
    <cellStyle name="SAPBEXexcBad7" xfId="429" xr:uid="{00000000-0005-0000-0000-00009F180000}"/>
    <cellStyle name="SAPBEXexcBad8" xfId="430" xr:uid="{00000000-0005-0000-0000-0000A0180000}"/>
    <cellStyle name="SAPBEXexcBad9" xfId="431" xr:uid="{00000000-0005-0000-0000-0000A1180000}"/>
    <cellStyle name="SAPBEXexcCritical4" xfId="432" xr:uid="{00000000-0005-0000-0000-0000A2180000}"/>
    <cellStyle name="SAPBEXexcCritical5" xfId="433" xr:uid="{00000000-0005-0000-0000-0000A3180000}"/>
    <cellStyle name="SAPBEXexcCritical6" xfId="434" xr:uid="{00000000-0005-0000-0000-0000A4180000}"/>
    <cellStyle name="SAPBEXexcGood1" xfId="435" xr:uid="{00000000-0005-0000-0000-0000A5180000}"/>
    <cellStyle name="SAPBEXexcGood2" xfId="436" xr:uid="{00000000-0005-0000-0000-0000A6180000}"/>
    <cellStyle name="SAPBEXexcGood3" xfId="437" xr:uid="{00000000-0005-0000-0000-0000A7180000}"/>
    <cellStyle name="SAPBEXfilterDrill" xfId="438" xr:uid="{00000000-0005-0000-0000-0000A8180000}"/>
    <cellStyle name="SAPBEXfilterItem" xfId="439" xr:uid="{00000000-0005-0000-0000-0000A9180000}"/>
    <cellStyle name="SAPBEXfilterText" xfId="440" xr:uid="{00000000-0005-0000-0000-0000AA180000}"/>
    <cellStyle name="SAPBEXfilterText 2" xfId="5826" xr:uid="{00000000-0005-0000-0000-0000AB180000}"/>
    <cellStyle name="SAPBEXfilterText 3" xfId="5827" xr:uid="{00000000-0005-0000-0000-0000AC180000}"/>
    <cellStyle name="SAPBEXfilterText_1 KeyFig" xfId="5828" xr:uid="{00000000-0005-0000-0000-0000AD180000}"/>
    <cellStyle name="SAPBEXformats" xfId="441" xr:uid="{00000000-0005-0000-0000-0000AE180000}"/>
    <cellStyle name="SAPBEXheaderItem" xfId="442" xr:uid="{00000000-0005-0000-0000-0000AF180000}"/>
    <cellStyle name="SAPBEXheaderText" xfId="443" xr:uid="{00000000-0005-0000-0000-0000B0180000}"/>
    <cellStyle name="SAPBEXheaderText 2" xfId="5829" xr:uid="{00000000-0005-0000-0000-0000B1180000}"/>
    <cellStyle name="SAPBEXheaderText 3" xfId="5830" xr:uid="{00000000-0005-0000-0000-0000B2180000}"/>
    <cellStyle name="SAPBEXheaderText_1 KeyFig" xfId="5831" xr:uid="{00000000-0005-0000-0000-0000B3180000}"/>
    <cellStyle name="SAPBEXHLevel0" xfId="444" xr:uid="{00000000-0005-0000-0000-0000B4180000}"/>
    <cellStyle name="SAPBEXHLevel0 2" xfId="5832" xr:uid="{00000000-0005-0000-0000-0000B5180000}"/>
    <cellStyle name="SAPBEXHLevel0 2 2" xfId="5833" xr:uid="{00000000-0005-0000-0000-0000B6180000}"/>
    <cellStyle name="SAPBEXHLevel0 2_1 KeyFig" xfId="5834" xr:uid="{00000000-0005-0000-0000-0000B7180000}"/>
    <cellStyle name="SAPBEXHLevel0 3" xfId="5835" xr:uid="{00000000-0005-0000-0000-0000B8180000}"/>
    <cellStyle name="SAPBEXHLevel0_1 KeyFig" xfId="5836" xr:uid="{00000000-0005-0000-0000-0000B9180000}"/>
    <cellStyle name="SAPBEXHLevel0X" xfId="445" xr:uid="{00000000-0005-0000-0000-0000BA180000}"/>
    <cellStyle name="SAPBEXHLevel0X 2" xfId="5837" xr:uid="{00000000-0005-0000-0000-0000BB180000}"/>
    <cellStyle name="SAPBEXHLevel0X 2 2" xfId="5838" xr:uid="{00000000-0005-0000-0000-0000BC180000}"/>
    <cellStyle name="SAPBEXHLevel0X 2_1 KeyFig" xfId="5839" xr:uid="{00000000-0005-0000-0000-0000BD180000}"/>
    <cellStyle name="SAPBEXHLevel0X 3" xfId="5840" xr:uid="{00000000-0005-0000-0000-0000BE180000}"/>
    <cellStyle name="SAPBEXHLevel0X_1 KeyFig" xfId="5841" xr:uid="{00000000-0005-0000-0000-0000BF180000}"/>
    <cellStyle name="SAPBEXHLevel1" xfId="446" xr:uid="{00000000-0005-0000-0000-0000C0180000}"/>
    <cellStyle name="SAPBEXHLevel1 2" xfId="5842" xr:uid="{00000000-0005-0000-0000-0000C1180000}"/>
    <cellStyle name="SAPBEXHLevel1 2 2" xfId="5843" xr:uid="{00000000-0005-0000-0000-0000C2180000}"/>
    <cellStyle name="SAPBEXHLevel1 2_1 KeyFig" xfId="5844" xr:uid="{00000000-0005-0000-0000-0000C3180000}"/>
    <cellStyle name="SAPBEXHLevel1 3" xfId="5845" xr:uid="{00000000-0005-0000-0000-0000C4180000}"/>
    <cellStyle name="SAPBEXHLevel1_1 KeyFig" xfId="5846" xr:uid="{00000000-0005-0000-0000-0000C5180000}"/>
    <cellStyle name="SAPBEXHLevel1X" xfId="447" xr:uid="{00000000-0005-0000-0000-0000C6180000}"/>
    <cellStyle name="SAPBEXHLevel1X 2" xfId="5847" xr:uid="{00000000-0005-0000-0000-0000C7180000}"/>
    <cellStyle name="SAPBEXHLevel1X 2 2" xfId="5848" xr:uid="{00000000-0005-0000-0000-0000C8180000}"/>
    <cellStyle name="SAPBEXHLevel1X 2_1 KeyFig" xfId="5849" xr:uid="{00000000-0005-0000-0000-0000C9180000}"/>
    <cellStyle name="SAPBEXHLevel1X 3" xfId="5850" xr:uid="{00000000-0005-0000-0000-0000CA180000}"/>
    <cellStyle name="SAPBEXHLevel1X_1 KeyFig" xfId="5851" xr:uid="{00000000-0005-0000-0000-0000CB180000}"/>
    <cellStyle name="SAPBEXHLevel2" xfId="448" xr:uid="{00000000-0005-0000-0000-0000CC180000}"/>
    <cellStyle name="SAPBEXHLevel2 2" xfId="5852" xr:uid="{00000000-0005-0000-0000-0000CD180000}"/>
    <cellStyle name="SAPBEXHLevel2 2 2" xfId="5853" xr:uid="{00000000-0005-0000-0000-0000CE180000}"/>
    <cellStyle name="SAPBEXHLevel2 2_1 KeyFig" xfId="5854" xr:uid="{00000000-0005-0000-0000-0000CF180000}"/>
    <cellStyle name="SAPBEXHLevel2 3" xfId="5855" xr:uid="{00000000-0005-0000-0000-0000D0180000}"/>
    <cellStyle name="SAPBEXHLevel2_1 KeyFig" xfId="5856" xr:uid="{00000000-0005-0000-0000-0000D1180000}"/>
    <cellStyle name="SAPBEXHLevel2X" xfId="449" xr:uid="{00000000-0005-0000-0000-0000D2180000}"/>
    <cellStyle name="SAPBEXHLevel2X 2" xfId="5857" xr:uid="{00000000-0005-0000-0000-0000D3180000}"/>
    <cellStyle name="SAPBEXHLevel2X 2 2" xfId="5858" xr:uid="{00000000-0005-0000-0000-0000D4180000}"/>
    <cellStyle name="SAPBEXHLevel2X 2_1 KeyFig" xfId="5859" xr:uid="{00000000-0005-0000-0000-0000D5180000}"/>
    <cellStyle name="SAPBEXHLevel2X 3" xfId="5860" xr:uid="{00000000-0005-0000-0000-0000D6180000}"/>
    <cellStyle name="SAPBEXHLevel2X_1 KeyFig" xfId="5861" xr:uid="{00000000-0005-0000-0000-0000D7180000}"/>
    <cellStyle name="SAPBEXHLevel3" xfId="450" xr:uid="{00000000-0005-0000-0000-0000D8180000}"/>
    <cellStyle name="SAPBEXHLevel3 2" xfId="5862" xr:uid="{00000000-0005-0000-0000-0000D9180000}"/>
    <cellStyle name="SAPBEXHLevel3 2 2" xfId="5863" xr:uid="{00000000-0005-0000-0000-0000DA180000}"/>
    <cellStyle name="SAPBEXHLevel3 2_1 KeyFig" xfId="5864" xr:uid="{00000000-0005-0000-0000-0000DB180000}"/>
    <cellStyle name="SAPBEXHLevel3 3" xfId="5865" xr:uid="{00000000-0005-0000-0000-0000DC180000}"/>
    <cellStyle name="SAPBEXHLevel3_1 KeyFig" xfId="5866" xr:uid="{00000000-0005-0000-0000-0000DD180000}"/>
    <cellStyle name="SAPBEXHLevel3X" xfId="451" xr:uid="{00000000-0005-0000-0000-0000DE180000}"/>
    <cellStyle name="SAPBEXHLevel3X 2" xfId="5867" xr:uid="{00000000-0005-0000-0000-0000DF180000}"/>
    <cellStyle name="SAPBEXHLevel3X 2 2" xfId="5868" xr:uid="{00000000-0005-0000-0000-0000E0180000}"/>
    <cellStyle name="SAPBEXHLevel3X 2_1 KeyFig" xfId="5869" xr:uid="{00000000-0005-0000-0000-0000E1180000}"/>
    <cellStyle name="SAPBEXHLevel3X 3" xfId="5870" xr:uid="{00000000-0005-0000-0000-0000E2180000}"/>
    <cellStyle name="SAPBEXHLevel3X_1 KeyFig" xfId="5871" xr:uid="{00000000-0005-0000-0000-0000E3180000}"/>
    <cellStyle name="SAPBEXinputData" xfId="452" xr:uid="{00000000-0005-0000-0000-0000E4180000}"/>
    <cellStyle name="SAPBEXinputData 2" xfId="5872" xr:uid="{00000000-0005-0000-0000-0000E5180000}"/>
    <cellStyle name="SAPBEXinputData 2 2" xfId="5873" xr:uid="{00000000-0005-0000-0000-0000E6180000}"/>
    <cellStyle name="SAPBEXinputData 2_1 KeyFig" xfId="5874" xr:uid="{00000000-0005-0000-0000-0000E7180000}"/>
    <cellStyle name="SAPBEXinputData 3" xfId="5875" xr:uid="{00000000-0005-0000-0000-0000E8180000}"/>
    <cellStyle name="SAPBEXinputData 4" xfId="5876" xr:uid="{00000000-0005-0000-0000-0000E9180000}"/>
    <cellStyle name="SAPBEXinputData 5" xfId="5877" xr:uid="{00000000-0005-0000-0000-0000EA180000}"/>
    <cellStyle name="SAPBEXinputData_1 KeyFig" xfId="5878" xr:uid="{00000000-0005-0000-0000-0000EB180000}"/>
    <cellStyle name="SAPBEXresData" xfId="453" xr:uid="{00000000-0005-0000-0000-0000EC180000}"/>
    <cellStyle name="SAPBEXresData 2" xfId="5879" xr:uid="{00000000-0005-0000-0000-0000ED180000}"/>
    <cellStyle name="SAPBEXresData 3" xfId="5880" xr:uid="{00000000-0005-0000-0000-0000EE180000}"/>
    <cellStyle name="SAPBEXresData_1 KeyFig" xfId="5881" xr:uid="{00000000-0005-0000-0000-0000EF180000}"/>
    <cellStyle name="SAPBEXresDataEmph" xfId="454" xr:uid="{00000000-0005-0000-0000-0000F0180000}"/>
    <cellStyle name="SAPBEXresDataEmph 2" xfId="5882" xr:uid="{00000000-0005-0000-0000-0000F1180000}"/>
    <cellStyle name="SAPBEXresDataEmph 3" xfId="5883" xr:uid="{00000000-0005-0000-0000-0000F2180000}"/>
    <cellStyle name="SAPBEXresDataEmph_1 KeyFig" xfId="5884" xr:uid="{00000000-0005-0000-0000-0000F3180000}"/>
    <cellStyle name="SAPBEXresItem" xfId="455" xr:uid="{00000000-0005-0000-0000-0000F4180000}"/>
    <cellStyle name="SAPBEXresItem 2" xfId="5885" xr:uid="{00000000-0005-0000-0000-0000F5180000}"/>
    <cellStyle name="SAPBEXresItem 3" xfId="5886" xr:uid="{00000000-0005-0000-0000-0000F6180000}"/>
    <cellStyle name="SAPBEXresItem_1 KeyFig" xfId="5887" xr:uid="{00000000-0005-0000-0000-0000F7180000}"/>
    <cellStyle name="SAPBEXresItemX" xfId="456" xr:uid="{00000000-0005-0000-0000-0000F8180000}"/>
    <cellStyle name="SAPBEXresItemX 2" xfId="5888" xr:uid="{00000000-0005-0000-0000-0000F9180000}"/>
    <cellStyle name="SAPBEXresItemX 3" xfId="5889" xr:uid="{00000000-0005-0000-0000-0000FA180000}"/>
    <cellStyle name="SAPBEXresItemX_1 KeyFig" xfId="5890" xr:uid="{00000000-0005-0000-0000-0000FB180000}"/>
    <cellStyle name="SAPBEXstdData" xfId="457" xr:uid="{00000000-0005-0000-0000-0000FC180000}"/>
    <cellStyle name="SAPBEXstdDataEmph" xfId="458" xr:uid="{00000000-0005-0000-0000-0000FD180000}"/>
    <cellStyle name="SAPBEXstdItem" xfId="459" xr:uid="{00000000-0005-0000-0000-0000FE180000}"/>
    <cellStyle name="SAPBEXstdItemX" xfId="460" xr:uid="{00000000-0005-0000-0000-0000FF180000}"/>
    <cellStyle name="SAPBEXstdItemX 2" xfId="5891" xr:uid="{00000000-0005-0000-0000-000000190000}"/>
    <cellStyle name="SAPBEXstdItemX 3" xfId="5892" xr:uid="{00000000-0005-0000-0000-000001190000}"/>
    <cellStyle name="SAPBEXstdItemX_1 KeyFig" xfId="5893" xr:uid="{00000000-0005-0000-0000-000002190000}"/>
    <cellStyle name="SAPBEXtitle" xfId="461" xr:uid="{00000000-0005-0000-0000-000003190000}"/>
    <cellStyle name="SAPBEXundefined" xfId="462" xr:uid="{00000000-0005-0000-0000-000004190000}"/>
    <cellStyle name="SAPBEXundefined 2" xfId="11027" xr:uid="{FFAB059B-CA18-489F-B2F0-365FDF04B7C7}"/>
    <cellStyle name="SAPBEXundefined_Adjusted Bridge, ECS" xfId="11695" xr:uid="{255E2E2C-DDA1-44D4-8F25-A425FF380F96}"/>
    <cellStyle name="SAPBorder" xfId="5894" xr:uid="{00000000-0005-0000-0000-000005190000}"/>
    <cellStyle name="SAPDataCell" xfId="5895" xr:uid="{00000000-0005-0000-0000-000006190000}"/>
    <cellStyle name="SAPDataTotalCell" xfId="5896" xr:uid="{00000000-0005-0000-0000-000007190000}"/>
    <cellStyle name="SAPDimensionCell" xfId="5897" xr:uid="{00000000-0005-0000-0000-000008190000}"/>
    <cellStyle name="SAPEditableDataCell" xfId="5898" xr:uid="{00000000-0005-0000-0000-000009190000}"/>
    <cellStyle name="SAPEditableDataTotalCell" xfId="5899" xr:uid="{00000000-0005-0000-0000-00000A190000}"/>
    <cellStyle name="SAPEmphasized" xfId="5900" xr:uid="{00000000-0005-0000-0000-00000B190000}"/>
    <cellStyle name="SAPEmphasizedEditableDataCell" xfId="5901" xr:uid="{00000000-0005-0000-0000-00000C190000}"/>
    <cellStyle name="SAPEmphasizedEditableDataTotalCell" xfId="5902" xr:uid="{00000000-0005-0000-0000-00000D190000}"/>
    <cellStyle name="SAPEmphasizedLockedDataCell" xfId="5903" xr:uid="{00000000-0005-0000-0000-00000E190000}"/>
    <cellStyle name="SAPEmphasizedLockedDataTotalCell" xfId="5904" xr:uid="{00000000-0005-0000-0000-00000F190000}"/>
    <cellStyle name="SAPEmphasizedReadonlyDataCell" xfId="5905" xr:uid="{00000000-0005-0000-0000-000010190000}"/>
    <cellStyle name="SAPEmphasizedReadonlyDataTotalCell" xfId="5906" xr:uid="{00000000-0005-0000-0000-000011190000}"/>
    <cellStyle name="SAPEmphasizedTotal" xfId="5907" xr:uid="{00000000-0005-0000-0000-000012190000}"/>
    <cellStyle name="SAPExceptionLevel1" xfId="5908" xr:uid="{00000000-0005-0000-0000-000013190000}"/>
    <cellStyle name="SAPExceptionLevel2" xfId="5909" xr:uid="{00000000-0005-0000-0000-000014190000}"/>
    <cellStyle name="SAPExceptionLevel3" xfId="5910" xr:uid="{00000000-0005-0000-0000-000015190000}"/>
    <cellStyle name="SAPExceptionLevel4" xfId="5911" xr:uid="{00000000-0005-0000-0000-000016190000}"/>
    <cellStyle name="SAPExceptionLevel5" xfId="5912" xr:uid="{00000000-0005-0000-0000-000017190000}"/>
    <cellStyle name="SAPExceptionLevel6" xfId="5913" xr:uid="{00000000-0005-0000-0000-000018190000}"/>
    <cellStyle name="SAPExceptionLevel7" xfId="5914" xr:uid="{00000000-0005-0000-0000-000019190000}"/>
    <cellStyle name="SAPExceptionLevel8" xfId="5915" xr:uid="{00000000-0005-0000-0000-00001A190000}"/>
    <cellStyle name="SAPExceptionLevel9" xfId="5916" xr:uid="{00000000-0005-0000-0000-00001B190000}"/>
    <cellStyle name="SAPHierarchyCell0" xfId="5917" xr:uid="{00000000-0005-0000-0000-00001C190000}"/>
    <cellStyle name="SAPHierarchyCell1" xfId="5918" xr:uid="{00000000-0005-0000-0000-00001D190000}"/>
    <cellStyle name="SAPHierarchyCell2" xfId="5919" xr:uid="{00000000-0005-0000-0000-00001E190000}"/>
    <cellStyle name="SAPHierarchyCell3" xfId="5920" xr:uid="{00000000-0005-0000-0000-00001F190000}"/>
    <cellStyle name="SAPHierarchyCell4" xfId="5921" xr:uid="{00000000-0005-0000-0000-000020190000}"/>
    <cellStyle name="SAPLockedDataCell" xfId="5922" xr:uid="{00000000-0005-0000-0000-000021190000}"/>
    <cellStyle name="SAPLockedDataTotalCell" xfId="5923" xr:uid="{00000000-0005-0000-0000-000022190000}"/>
    <cellStyle name="SAPMemberCell" xfId="5924" xr:uid="{00000000-0005-0000-0000-000023190000}"/>
    <cellStyle name="SAPMemberTotalCell" xfId="5925" xr:uid="{00000000-0005-0000-0000-000024190000}"/>
    <cellStyle name="SAPReadonlyDataCell" xfId="5926" xr:uid="{00000000-0005-0000-0000-000025190000}"/>
    <cellStyle name="SAPReadonlyDataTotalCell" xfId="5927" xr:uid="{00000000-0005-0000-0000-000026190000}"/>
    <cellStyle name="Satisfaisant" xfId="463" xr:uid="{00000000-0005-0000-0000-000027190000}"/>
    <cellStyle name="Schlecht" xfId="11028" xr:uid="{C9D6C0A1-17ED-41C7-8DCC-A54205E92C35}"/>
    <cellStyle name="Schlecht 2" xfId="11029" xr:uid="{3EB6E51C-C8A6-44A2-BEF9-368F31D009C0}"/>
    <cellStyle name="Schlecht_CF" xfId="11030" xr:uid="{E11E5B70-6F6F-4592-830D-C43E375FF27B}"/>
    <cellStyle name="Separador de milhares 2 2" xfId="11031" xr:uid="{F5D2EFA9-5861-47EF-BE49-62FBBB437187}"/>
    <cellStyle name="Separador de milhares 2 3" xfId="11032" xr:uid="{14360C6A-FC9A-4B15-9476-CFD6B60862B3}"/>
    <cellStyle name="Sheet Title" xfId="464" xr:uid="{00000000-0005-0000-0000-000028190000}"/>
    <cellStyle name="Sheet Title 2" xfId="5928" xr:uid="{00000000-0005-0000-0000-000029190000}"/>
    <cellStyle name="Sheet Title 2 2" xfId="11033" xr:uid="{7B898EBC-6A3B-4215-914B-5FEFE5960DA2}"/>
    <cellStyle name="Sheet Title 2_Adjusted bridges" xfId="11454" xr:uid="{C54740CB-A2B1-45A0-A7A2-A3BDBE3A219E}"/>
    <cellStyle name="Sheet Title 3" xfId="5929" xr:uid="{00000000-0005-0000-0000-00002A190000}"/>
    <cellStyle name="Sheet Title_1 KeyFig" xfId="5930" xr:uid="{00000000-0005-0000-0000-00002B190000}"/>
    <cellStyle name="small" xfId="11034" xr:uid="{E93E494A-1786-4DD0-BCB5-81A401ABDD6B}"/>
    <cellStyle name="Sortie" xfId="465" xr:uid="{00000000-0005-0000-0000-00002C190000}"/>
    <cellStyle name="Standard 2" xfId="11035" xr:uid="{D9C8118F-CBDE-4683-9254-208E154621C3}"/>
    <cellStyle name="Standard 4" xfId="11036" xr:uid="{D2A21455-5016-4679-8669-978D021A982E}"/>
    <cellStyle name="Standard_~0015312" xfId="11037" xr:uid="{D2E398B5-59B5-4C95-8DEF-0B128D60E8B9}"/>
    <cellStyle name="Style 1" xfId="466" xr:uid="{00000000-0005-0000-0000-00002E190000}"/>
    <cellStyle name="Style 1 2" xfId="5931" xr:uid="{00000000-0005-0000-0000-00002F190000}"/>
    <cellStyle name="Style 1 2 2" xfId="5932" xr:uid="{00000000-0005-0000-0000-000030190000}"/>
    <cellStyle name="Style 1 2 2 2" xfId="5933" xr:uid="{00000000-0005-0000-0000-000031190000}"/>
    <cellStyle name="Style 1 2 2_1 KeyFig" xfId="5934" xr:uid="{00000000-0005-0000-0000-000032190000}"/>
    <cellStyle name="Style 1 2 3" xfId="5935" xr:uid="{00000000-0005-0000-0000-000033190000}"/>
    <cellStyle name="Style 1 2_1 KeyFig" xfId="5936" xr:uid="{00000000-0005-0000-0000-000034190000}"/>
    <cellStyle name="Style 1 3" xfId="5937" xr:uid="{00000000-0005-0000-0000-000035190000}"/>
    <cellStyle name="Style 1 3 2" xfId="5938" xr:uid="{00000000-0005-0000-0000-000036190000}"/>
    <cellStyle name="Style 1 3 2 2" xfId="5939" xr:uid="{00000000-0005-0000-0000-000037190000}"/>
    <cellStyle name="Style 1 3 2_1 KeyFig" xfId="5940" xr:uid="{00000000-0005-0000-0000-000038190000}"/>
    <cellStyle name="Style 1 3 3" xfId="5941" xr:uid="{00000000-0005-0000-0000-000039190000}"/>
    <cellStyle name="Style 1 3_1 KeyFig" xfId="5942" xr:uid="{00000000-0005-0000-0000-00003A190000}"/>
    <cellStyle name="Style 1 4" xfId="5943" xr:uid="{00000000-0005-0000-0000-00003B190000}"/>
    <cellStyle name="Style 1 4 2" xfId="5944" xr:uid="{00000000-0005-0000-0000-00003C190000}"/>
    <cellStyle name="Style 1 4_1 KeyFig" xfId="5945" xr:uid="{00000000-0005-0000-0000-00003D190000}"/>
    <cellStyle name="Style 1 5" xfId="11038" xr:uid="{0AE36059-9E60-452A-94DC-6F1CAF338531}"/>
    <cellStyle name="Style 1_1 KeyFig" xfId="5946" xr:uid="{00000000-0005-0000-0000-00003E190000}"/>
    <cellStyle name="Subtotal" xfId="467" xr:uid="{00000000-0005-0000-0000-00003F190000}"/>
    <cellStyle name="Summa" xfId="468" xr:uid="{00000000-0005-0000-0000-000040190000}"/>
    <cellStyle name="Summa 1 låst" xfId="469" xr:uid="{00000000-0005-0000-0000-000041190000}"/>
    <cellStyle name="Summa 2" xfId="470" xr:uid="{00000000-0005-0000-0000-000042190000}"/>
    <cellStyle name="Summa 3" xfId="471" xr:uid="{00000000-0005-0000-0000-000043190000}"/>
    <cellStyle name="Summa_1 KeyFig" xfId="5947" xr:uid="{00000000-0005-0000-0000-000044190000}"/>
    <cellStyle name="Summa1 låst" xfId="472" xr:uid="{00000000-0005-0000-0000-000045190000}"/>
    <cellStyle name="Summa1 låst 2" xfId="5948" xr:uid="{00000000-0005-0000-0000-000046190000}"/>
    <cellStyle name="Summa1 låst_Adjusted bridges" xfId="11455" xr:uid="{CD18737B-F082-4B17-9648-09A669E5DAA8}"/>
    <cellStyle name="SumRow" xfId="5949" xr:uid="{00000000-0005-0000-0000-000048190000}"/>
    <cellStyle name="Tal" xfId="473" xr:uid="{00000000-0005-0000-0000-000049190000}"/>
    <cellStyle name="Tal 2" xfId="474" xr:uid="{00000000-0005-0000-0000-00004A190000}"/>
    <cellStyle name="Tal 3" xfId="475" xr:uid="{00000000-0005-0000-0000-00004B190000}"/>
    <cellStyle name="Tal_1 KeyFig" xfId="5950" xr:uid="{00000000-0005-0000-0000-00004C190000}"/>
    <cellStyle name="Text" xfId="476" xr:uid="{00000000-0005-0000-0000-00004D190000}"/>
    <cellStyle name="Text 10" xfId="5951" xr:uid="{00000000-0005-0000-0000-00004E190000}"/>
    <cellStyle name="Text 12" xfId="477" xr:uid="{00000000-0005-0000-0000-00004F190000}"/>
    <cellStyle name="Text 2" xfId="478" xr:uid="{00000000-0005-0000-0000-000050190000}"/>
    <cellStyle name="Text 2 2" xfId="5952" xr:uid="{00000000-0005-0000-0000-000051190000}"/>
    <cellStyle name="Text 2_1 KeyFig" xfId="5953" xr:uid="{00000000-0005-0000-0000-000052190000}"/>
    <cellStyle name="Text 3" xfId="479" xr:uid="{00000000-0005-0000-0000-000053190000}"/>
    <cellStyle name="Text 3 2" xfId="5954" xr:uid="{00000000-0005-0000-0000-000054190000}"/>
    <cellStyle name="Text 3_1 KeyFig" xfId="5955" xr:uid="{00000000-0005-0000-0000-000055190000}"/>
    <cellStyle name="Text 4" xfId="480" xr:uid="{00000000-0005-0000-0000-000056190000}"/>
    <cellStyle name="Text 5" xfId="481" xr:uid="{00000000-0005-0000-0000-000057190000}"/>
    <cellStyle name="Text 6" xfId="482" xr:uid="{00000000-0005-0000-0000-000058190000}"/>
    <cellStyle name="Text 7" xfId="483" xr:uid="{00000000-0005-0000-0000-000059190000}"/>
    <cellStyle name="Text 7 2" xfId="484" xr:uid="{00000000-0005-0000-0000-00005A190000}"/>
    <cellStyle name="Text 7 2 2" xfId="485" xr:uid="{00000000-0005-0000-0000-00005B190000}"/>
    <cellStyle name="Text 7 2 3" xfId="11039" xr:uid="{1227EAA1-E521-448D-BA47-86AB857435F9}"/>
    <cellStyle name="Text 7 2_1 KeyFig" xfId="5956" xr:uid="{00000000-0005-0000-0000-00005C190000}"/>
    <cellStyle name="Text 7_1 KeyFig" xfId="5957" xr:uid="{00000000-0005-0000-0000-00005D190000}"/>
    <cellStyle name="Text 8" xfId="486" xr:uid="{00000000-0005-0000-0000-00005E190000}"/>
    <cellStyle name="Text 9" xfId="5958" xr:uid="{00000000-0005-0000-0000-00005F190000}"/>
    <cellStyle name="Text_1 KeyFig" xfId="5959" xr:uid="{00000000-0005-0000-0000-000060190000}"/>
    <cellStyle name="Texte explicatif" xfId="487" xr:uid="{00000000-0005-0000-0000-000061190000}"/>
    <cellStyle name="Texto de advertencia" xfId="11040" xr:uid="{8DF133F2-560C-45ED-BD31-BB438D83DFBF}"/>
    <cellStyle name="Texto de Aviso" xfId="11041" xr:uid="{053E32E5-05B0-47E5-850E-C29CF882E367}"/>
    <cellStyle name="Texto explicativo" xfId="11042" xr:uid="{E43DE5DC-BA43-4943-87DF-7E02039B31BF}"/>
    <cellStyle name="Textrubrik" xfId="488" xr:uid="{00000000-0005-0000-0000-000062190000}"/>
    <cellStyle name="Textrubrik 2" xfId="489" xr:uid="{00000000-0005-0000-0000-000063190000}"/>
    <cellStyle name="Textrubrik 3" xfId="490" xr:uid="{00000000-0005-0000-0000-000064190000}"/>
    <cellStyle name="Textrubrik_1 KeyFig" xfId="5960" xr:uid="{00000000-0005-0000-0000-000065190000}"/>
    <cellStyle name="Title 10" xfId="5961" xr:uid="{00000000-0005-0000-0000-000066190000}"/>
    <cellStyle name="Title 11" xfId="5962" xr:uid="{00000000-0005-0000-0000-000067190000}"/>
    <cellStyle name="Title 12" xfId="5963" xr:uid="{00000000-0005-0000-0000-000068190000}"/>
    <cellStyle name="Title 13" xfId="5964" xr:uid="{00000000-0005-0000-0000-000069190000}"/>
    <cellStyle name="Title 2" xfId="491" xr:uid="{00000000-0005-0000-0000-00006A190000}"/>
    <cellStyle name="Title 2 10" xfId="5965" xr:uid="{00000000-0005-0000-0000-00006B190000}"/>
    <cellStyle name="Title 2 11" xfId="5966" xr:uid="{00000000-0005-0000-0000-00006C190000}"/>
    <cellStyle name="Title 2 12" xfId="5967" xr:uid="{00000000-0005-0000-0000-00006D190000}"/>
    <cellStyle name="Title 2 13" xfId="5968" xr:uid="{00000000-0005-0000-0000-00006E190000}"/>
    <cellStyle name="Title 2 14" xfId="5969" xr:uid="{00000000-0005-0000-0000-00006F190000}"/>
    <cellStyle name="Title 2 15" xfId="5970" xr:uid="{00000000-0005-0000-0000-000070190000}"/>
    <cellStyle name="Title 2 2" xfId="5971" xr:uid="{00000000-0005-0000-0000-000071190000}"/>
    <cellStyle name="Title 2 2 10" xfId="5972" xr:uid="{00000000-0005-0000-0000-000072190000}"/>
    <cellStyle name="Title 2 2 11" xfId="5973" xr:uid="{00000000-0005-0000-0000-000073190000}"/>
    <cellStyle name="Title 2 2 12" xfId="5974" xr:uid="{00000000-0005-0000-0000-000074190000}"/>
    <cellStyle name="Title 2 2 2" xfId="5975" xr:uid="{00000000-0005-0000-0000-000075190000}"/>
    <cellStyle name="Title 2 2 3" xfId="5976" xr:uid="{00000000-0005-0000-0000-000076190000}"/>
    <cellStyle name="Title 2 2 4" xfId="5977" xr:uid="{00000000-0005-0000-0000-000077190000}"/>
    <cellStyle name="Title 2 2 5" xfId="5978" xr:uid="{00000000-0005-0000-0000-000078190000}"/>
    <cellStyle name="Title 2 2 6" xfId="5979" xr:uid="{00000000-0005-0000-0000-000079190000}"/>
    <cellStyle name="Title 2 2 7" xfId="5980" xr:uid="{00000000-0005-0000-0000-00007A190000}"/>
    <cellStyle name="Title 2 2 8" xfId="5981" xr:uid="{00000000-0005-0000-0000-00007B190000}"/>
    <cellStyle name="Title 2 2 9" xfId="5982" xr:uid="{00000000-0005-0000-0000-00007C190000}"/>
    <cellStyle name="Title 2 2_1 KeyFig" xfId="5983" xr:uid="{00000000-0005-0000-0000-00007D190000}"/>
    <cellStyle name="Title 2 3" xfId="5984" xr:uid="{00000000-0005-0000-0000-00007E190000}"/>
    <cellStyle name="Title 2 4" xfId="5985" xr:uid="{00000000-0005-0000-0000-00007F190000}"/>
    <cellStyle name="Title 2 5" xfId="5986" xr:uid="{00000000-0005-0000-0000-000080190000}"/>
    <cellStyle name="Title 2 6" xfId="5987" xr:uid="{00000000-0005-0000-0000-000081190000}"/>
    <cellStyle name="Title 2 7" xfId="5988" xr:uid="{00000000-0005-0000-0000-000082190000}"/>
    <cellStyle name="Title 2 8" xfId="5989" xr:uid="{00000000-0005-0000-0000-000083190000}"/>
    <cellStyle name="Title 2 9" xfId="5990" xr:uid="{00000000-0005-0000-0000-000084190000}"/>
    <cellStyle name="Title 2_1 KeyFig" xfId="5991" xr:uid="{00000000-0005-0000-0000-000085190000}"/>
    <cellStyle name="Title 3" xfId="492" xr:uid="{00000000-0005-0000-0000-000086190000}"/>
    <cellStyle name="Title 3 2" xfId="5992" xr:uid="{00000000-0005-0000-0000-000087190000}"/>
    <cellStyle name="Title 3 3" xfId="5993" xr:uid="{00000000-0005-0000-0000-000088190000}"/>
    <cellStyle name="Title 3 4" xfId="5994" xr:uid="{00000000-0005-0000-0000-000089190000}"/>
    <cellStyle name="Title 3_1 KeyFig" xfId="5995" xr:uid="{00000000-0005-0000-0000-00008A190000}"/>
    <cellStyle name="Title 4" xfId="493" xr:uid="{00000000-0005-0000-0000-00008B190000}"/>
    <cellStyle name="Title 4 2" xfId="5996" xr:uid="{00000000-0005-0000-0000-00008C190000}"/>
    <cellStyle name="Title 4_1 KeyFig" xfId="5997" xr:uid="{00000000-0005-0000-0000-00008D190000}"/>
    <cellStyle name="Title 5" xfId="494" xr:uid="{00000000-0005-0000-0000-00008E190000}"/>
    <cellStyle name="Title 6" xfId="5998" xr:uid="{00000000-0005-0000-0000-00008F190000}"/>
    <cellStyle name="Title 7" xfId="5999" xr:uid="{00000000-0005-0000-0000-000090190000}"/>
    <cellStyle name="Title 8" xfId="6000" xr:uid="{00000000-0005-0000-0000-000091190000}"/>
    <cellStyle name="Title 9" xfId="6001" xr:uid="{00000000-0005-0000-0000-000092190000}"/>
    <cellStyle name="Titre" xfId="495" xr:uid="{00000000-0005-0000-0000-000093190000}"/>
    <cellStyle name="Titre 1" xfId="496" xr:uid="{00000000-0005-0000-0000-000094190000}"/>
    <cellStyle name="Titre 2" xfId="497" xr:uid="{00000000-0005-0000-0000-000095190000}"/>
    <cellStyle name="Titre 3" xfId="498" xr:uid="{00000000-0005-0000-0000-000096190000}"/>
    <cellStyle name="Titre 4" xfId="499" xr:uid="{00000000-0005-0000-0000-000097190000}"/>
    <cellStyle name="Titre_1 KeyFig" xfId="6002" xr:uid="{00000000-0005-0000-0000-000098190000}"/>
    <cellStyle name="Título" xfId="11043" xr:uid="{A4E4999A-6D3E-4A95-9A9F-E5CF33AFB045}"/>
    <cellStyle name="Título 1" xfId="11044" xr:uid="{504C0F75-1A16-4C44-B212-EE8F9DBDC04F}"/>
    <cellStyle name="Título 2" xfId="11045" xr:uid="{26D5C3E0-DCB7-4BED-9261-26E39878FB7B}"/>
    <cellStyle name="Título 3" xfId="11046" xr:uid="{D813ED7E-EB42-47E3-944E-63F5B0702685}"/>
    <cellStyle name="Título 4" xfId="11047" xr:uid="{59F90AA7-1221-47ED-A1DE-F584F67E5110}"/>
    <cellStyle name="Título_CF" xfId="11048" xr:uid="{05EE2539-32B5-43F4-9F9C-D47EAC54CC81}"/>
    <cellStyle name="top" xfId="11049" xr:uid="{A34D53B6-A790-46EB-842B-C5E6C53FEBC5}"/>
    <cellStyle name="top 2" xfId="11050" xr:uid="{BE83AC17-4260-4FBD-8B95-17E4B2593CBE}"/>
    <cellStyle name="top_AcqBal LC" xfId="11051" xr:uid="{6C45B81A-EAD1-450C-8BFC-0EEF92BBCEF0}"/>
    <cellStyle name="Total 10" xfId="6003" xr:uid="{00000000-0005-0000-0000-000099190000}"/>
    <cellStyle name="Total 11" xfId="6004" xr:uid="{00000000-0005-0000-0000-00009A190000}"/>
    <cellStyle name="Total 12" xfId="6005" xr:uid="{00000000-0005-0000-0000-00009B190000}"/>
    <cellStyle name="Total 13" xfId="6006" xr:uid="{00000000-0005-0000-0000-00009C190000}"/>
    <cellStyle name="Total 2" xfId="500" xr:uid="{00000000-0005-0000-0000-00009D190000}"/>
    <cellStyle name="Total 2 10" xfId="6007" xr:uid="{00000000-0005-0000-0000-00009E190000}"/>
    <cellStyle name="Total 2 11" xfId="6008" xr:uid="{00000000-0005-0000-0000-00009F190000}"/>
    <cellStyle name="Total 2 12" xfId="6009" xr:uid="{00000000-0005-0000-0000-0000A0190000}"/>
    <cellStyle name="Total 2 13" xfId="6010" xr:uid="{00000000-0005-0000-0000-0000A1190000}"/>
    <cellStyle name="Total 2 14" xfId="6011" xr:uid="{00000000-0005-0000-0000-0000A2190000}"/>
    <cellStyle name="Total 2 15" xfId="6012" xr:uid="{00000000-0005-0000-0000-0000A3190000}"/>
    <cellStyle name="Total 2 16" xfId="6013" xr:uid="{00000000-0005-0000-0000-0000A4190000}"/>
    <cellStyle name="Total 2 2" xfId="6014" xr:uid="{00000000-0005-0000-0000-0000A5190000}"/>
    <cellStyle name="Total 2 2 10" xfId="6015" xr:uid="{00000000-0005-0000-0000-0000A6190000}"/>
    <cellStyle name="Total 2 2 11" xfId="6016" xr:uid="{00000000-0005-0000-0000-0000A7190000}"/>
    <cellStyle name="Total 2 2 12" xfId="6017" xr:uid="{00000000-0005-0000-0000-0000A8190000}"/>
    <cellStyle name="Total 2 2 13" xfId="6018" xr:uid="{00000000-0005-0000-0000-0000A9190000}"/>
    <cellStyle name="Total 2 2 14" xfId="6019" xr:uid="{00000000-0005-0000-0000-0000AA190000}"/>
    <cellStyle name="Total 2 2 15" xfId="6020" xr:uid="{00000000-0005-0000-0000-0000AB190000}"/>
    <cellStyle name="Total 2 2 2" xfId="6021" xr:uid="{00000000-0005-0000-0000-0000AC190000}"/>
    <cellStyle name="Total 2 2 2 2" xfId="6022" xr:uid="{00000000-0005-0000-0000-0000AD190000}"/>
    <cellStyle name="Total 2 2 2_1 KeyFig" xfId="6023" xr:uid="{00000000-0005-0000-0000-0000AE190000}"/>
    <cellStyle name="Total 2 2 3" xfId="6024" xr:uid="{00000000-0005-0000-0000-0000AF190000}"/>
    <cellStyle name="Total 2 2 4" xfId="6025" xr:uid="{00000000-0005-0000-0000-0000B0190000}"/>
    <cellStyle name="Total 2 2 5" xfId="6026" xr:uid="{00000000-0005-0000-0000-0000B1190000}"/>
    <cellStyle name="Total 2 2 6" xfId="6027" xr:uid="{00000000-0005-0000-0000-0000B2190000}"/>
    <cellStyle name="Total 2 2 7" xfId="6028" xr:uid="{00000000-0005-0000-0000-0000B3190000}"/>
    <cellStyle name="Total 2 2 8" xfId="6029" xr:uid="{00000000-0005-0000-0000-0000B4190000}"/>
    <cellStyle name="Total 2 2 9" xfId="6030" xr:uid="{00000000-0005-0000-0000-0000B5190000}"/>
    <cellStyle name="Total 2 2_1 KeyFig" xfId="6031" xr:uid="{00000000-0005-0000-0000-0000B6190000}"/>
    <cellStyle name="Total 2 3" xfId="6032" xr:uid="{00000000-0005-0000-0000-0000B7190000}"/>
    <cellStyle name="Total 2 3 2" xfId="6033" xr:uid="{00000000-0005-0000-0000-0000B8190000}"/>
    <cellStyle name="Total 2 3_1 KeyFig" xfId="6034" xr:uid="{00000000-0005-0000-0000-0000B9190000}"/>
    <cellStyle name="Total 2 4" xfId="6035" xr:uid="{00000000-0005-0000-0000-0000BA190000}"/>
    <cellStyle name="Total 2 4 2" xfId="6036" xr:uid="{00000000-0005-0000-0000-0000BB190000}"/>
    <cellStyle name="Total 2 4_1 KeyFig" xfId="6037" xr:uid="{00000000-0005-0000-0000-0000BC190000}"/>
    <cellStyle name="Total 2 5" xfId="6038" xr:uid="{00000000-0005-0000-0000-0000BD190000}"/>
    <cellStyle name="Total 2 6" xfId="6039" xr:uid="{00000000-0005-0000-0000-0000BE190000}"/>
    <cellStyle name="Total 2 7" xfId="6040" xr:uid="{00000000-0005-0000-0000-0000BF190000}"/>
    <cellStyle name="Total 2 8" xfId="6041" xr:uid="{00000000-0005-0000-0000-0000C0190000}"/>
    <cellStyle name="Total 2 8 2" xfId="6042" xr:uid="{00000000-0005-0000-0000-0000C1190000}"/>
    <cellStyle name="Total 2 8_1 KeyFig" xfId="6043" xr:uid="{00000000-0005-0000-0000-0000C2190000}"/>
    <cellStyle name="Total 2 9" xfId="6044" xr:uid="{00000000-0005-0000-0000-0000C3190000}"/>
    <cellStyle name="Total 2_1 KeyFig" xfId="6045" xr:uid="{00000000-0005-0000-0000-0000C4190000}"/>
    <cellStyle name="Total 3" xfId="501" xr:uid="{00000000-0005-0000-0000-0000C5190000}"/>
    <cellStyle name="Total 3 10" xfId="6046" xr:uid="{00000000-0005-0000-0000-0000C6190000}"/>
    <cellStyle name="Total 3 2" xfId="6047" xr:uid="{00000000-0005-0000-0000-0000C7190000}"/>
    <cellStyle name="Total 3 2 2" xfId="6048" xr:uid="{00000000-0005-0000-0000-0000C8190000}"/>
    <cellStyle name="Total 3 2 3" xfId="6049" xr:uid="{00000000-0005-0000-0000-0000C9190000}"/>
    <cellStyle name="Total 3 2_1 KeyFig" xfId="6050" xr:uid="{00000000-0005-0000-0000-0000CA190000}"/>
    <cellStyle name="Total 3 3" xfId="6051" xr:uid="{00000000-0005-0000-0000-0000CB190000}"/>
    <cellStyle name="Total 3 3 2" xfId="6052" xr:uid="{00000000-0005-0000-0000-0000CC190000}"/>
    <cellStyle name="Total 3 3_1 KeyFig" xfId="6053" xr:uid="{00000000-0005-0000-0000-0000CD190000}"/>
    <cellStyle name="Total 3 4" xfId="6054" xr:uid="{00000000-0005-0000-0000-0000CE190000}"/>
    <cellStyle name="Total 3 5" xfId="6055" xr:uid="{00000000-0005-0000-0000-0000CF190000}"/>
    <cellStyle name="Total 3 6" xfId="6056" xr:uid="{00000000-0005-0000-0000-0000D0190000}"/>
    <cellStyle name="Total 3 7" xfId="6057" xr:uid="{00000000-0005-0000-0000-0000D1190000}"/>
    <cellStyle name="Total 3 8" xfId="6058" xr:uid="{00000000-0005-0000-0000-0000D2190000}"/>
    <cellStyle name="Total 3 9" xfId="6059" xr:uid="{00000000-0005-0000-0000-0000D3190000}"/>
    <cellStyle name="Total 3_1 KeyFig" xfId="6060" xr:uid="{00000000-0005-0000-0000-0000D4190000}"/>
    <cellStyle name="Total 4" xfId="502" xr:uid="{00000000-0005-0000-0000-0000D5190000}"/>
    <cellStyle name="Total 4 2" xfId="6061" xr:uid="{00000000-0005-0000-0000-0000D6190000}"/>
    <cellStyle name="Total 4_1 KeyFig" xfId="6062" xr:uid="{00000000-0005-0000-0000-0000D7190000}"/>
    <cellStyle name="Total 5" xfId="503" xr:uid="{00000000-0005-0000-0000-0000D8190000}"/>
    <cellStyle name="Total 6" xfId="6063" xr:uid="{00000000-0005-0000-0000-0000D9190000}"/>
    <cellStyle name="Total 7" xfId="6064" xr:uid="{00000000-0005-0000-0000-0000DA190000}"/>
    <cellStyle name="Total 8" xfId="6065" xr:uid="{00000000-0005-0000-0000-0000DB190000}"/>
    <cellStyle name="Total 9" xfId="6066" xr:uid="{00000000-0005-0000-0000-0000DC190000}"/>
    <cellStyle name="Tusent - Formatmall1" xfId="6067" xr:uid="{00000000-0005-0000-0000-0000DD190000}"/>
    <cellStyle name="Tusental (0)_1FIX, page 2" xfId="504" xr:uid="{00000000-0005-0000-0000-0000DE190000}"/>
    <cellStyle name="Tusental_1FIX, page 2" xfId="505" xr:uid="{00000000-0005-0000-0000-0000DF190000}"/>
    <cellStyle name="Valuta (0)_1FIX, page 2" xfId="506" xr:uid="{00000000-0005-0000-0000-0000E0190000}"/>
    <cellStyle name="Valuta_1FIX, page 2" xfId="507" xr:uid="{00000000-0005-0000-0000-0000E1190000}"/>
    <cellStyle name="Vérification" xfId="512" xr:uid="{00000000-0005-0000-0000-0000E2190000}"/>
    <cellStyle name="Verknüpfte Zelle" xfId="11052" xr:uid="{8D5855E2-4F03-434A-B512-00BEDE14852C}"/>
    <cellStyle name="Verknüpfte Zelle 2" xfId="11053" xr:uid="{55CB8D04-B39C-43E0-B096-90703E5D4263}"/>
    <cellStyle name="Verknüpfte Zelle_CF" xfId="11054" xr:uid="{35D24AEE-290E-403D-8FAD-AABD048BD675}"/>
    <cellStyle name="Vírgula 2" xfId="11055" xr:uid="{E27E0141-FCCA-4402-946D-2F33593CB84D}"/>
    <cellStyle name="Vírgula 3" xfId="11056" xr:uid="{FA5595FE-F957-4602-9275-224126D051FD}"/>
    <cellStyle name="Warnender Text" xfId="11057" xr:uid="{EBC2F9C1-DA18-485A-8CBD-1B35FEEF5266}"/>
    <cellStyle name="Warnender Text 2" xfId="11058" xr:uid="{891C5BAD-57F2-4588-899D-B56E44720BD1}"/>
    <cellStyle name="Warnender Text_CF" xfId="11059" xr:uid="{06073661-62D6-4CF6-95FD-D2DFEE4B51E6}"/>
    <cellStyle name="Warning Text 10" xfId="6068" xr:uid="{00000000-0005-0000-0000-0000E3190000}"/>
    <cellStyle name="Warning Text 10 2" xfId="6069" xr:uid="{00000000-0005-0000-0000-0000E4190000}"/>
    <cellStyle name="Warning Text 10_1 KeyFig" xfId="6070" xr:uid="{00000000-0005-0000-0000-0000E5190000}"/>
    <cellStyle name="Warning Text 11" xfId="6071" xr:uid="{00000000-0005-0000-0000-0000E6190000}"/>
    <cellStyle name="Warning Text 12" xfId="6072" xr:uid="{00000000-0005-0000-0000-0000E7190000}"/>
    <cellStyle name="Warning Text 13" xfId="6073" xr:uid="{00000000-0005-0000-0000-0000E8190000}"/>
    <cellStyle name="Warning Text 2" xfId="508" xr:uid="{00000000-0005-0000-0000-0000E9190000}"/>
    <cellStyle name="Warning Text 2 10" xfId="6074" xr:uid="{00000000-0005-0000-0000-0000EA190000}"/>
    <cellStyle name="Warning Text 2 11" xfId="6075" xr:uid="{00000000-0005-0000-0000-0000EB190000}"/>
    <cellStyle name="Warning Text 2 12" xfId="6076" xr:uid="{00000000-0005-0000-0000-0000EC190000}"/>
    <cellStyle name="Warning Text 2 13" xfId="6077" xr:uid="{00000000-0005-0000-0000-0000ED190000}"/>
    <cellStyle name="Warning Text 2 14" xfId="6078" xr:uid="{00000000-0005-0000-0000-0000EE190000}"/>
    <cellStyle name="Warning Text 2 15" xfId="6079" xr:uid="{00000000-0005-0000-0000-0000EF190000}"/>
    <cellStyle name="Warning Text 2 2" xfId="6080" xr:uid="{00000000-0005-0000-0000-0000F0190000}"/>
    <cellStyle name="Warning Text 2 2 10" xfId="6081" xr:uid="{00000000-0005-0000-0000-0000F1190000}"/>
    <cellStyle name="Warning Text 2 2 11" xfId="6082" xr:uid="{00000000-0005-0000-0000-0000F2190000}"/>
    <cellStyle name="Warning Text 2 2 12" xfId="6083" xr:uid="{00000000-0005-0000-0000-0000F3190000}"/>
    <cellStyle name="Warning Text 2 2 2" xfId="6084" xr:uid="{00000000-0005-0000-0000-0000F4190000}"/>
    <cellStyle name="Warning Text 2 2 3" xfId="6085" xr:uid="{00000000-0005-0000-0000-0000F5190000}"/>
    <cellStyle name="Warning Text 2 2 4" xfId="6086" xr:uid="{00000000-0005-0000-0000-0000F6190000}"/>
    <cellStyle name="Warning Text 2 2 5" xfId="6087" xr:uid="{00000000-0005-0000-0000-0000F7190000}"/>
    <cellStyle name="Warning Text 2 2 6" xfId="6088" xr:uid="{00000000-0005-0000-0000-0000F8190000}"/>
    <cellStyle name="Warning Text 2 2 7" xfId="6089" xr:uid="{00000000-0005-0000-0000-0000F9190000}"/>
    <cellStyle name="Warning Text 2 2 8" xfId="6090" xr:uid="{00000000-0005-0000-0000-0000FA190000}"/>
    <cellStyle name="Warning Text 2 2 9" xfId="6091" xr:uid="{00000000-0005-0000-0000-0000FB190000}"/>
    <cellStyle name="Warning Text 2 2_1 KeyFig" xfId="6092" xr:uid="{00000000-0005-0000-0000-0000FC190000}"/>
    <cellStyle name="Warning Text 2 3" xfId="6093" xr:uid="{00000000-0005-0000-0000-0000FD190000}"/>
    <cellStyle name="Warning Text 2 4" xfId="6094" xr:uid="{00000000-0005-0000-0000-0000FE190000}"/>
    <cellStyle name="Warning Text 2 5" xfId="6095" xr:uid="{00000000-0005-0000-0000-0000FF190000}"/>
    <cellStyle name="Warning Text 2 6" xfId="6096" xr:uid="{00000000-0005-0000-0000-0000001A0000}"/>
    <cellStyle name="Warning Text 2 7" xfId="6097" xr:uid="{00000000-0005-0000-0000-0000011A0000}"/>
    <cellStyle name="Warning Text 2 8" xfId="6098" xr:uid="{00000000-0005-0000-0000-0000021A0000}"/>
    <cellStyle name="Warning Text 2 9" xfId="6099" xr:uid="{00000000-0005-0000-0000-0000031A0000}"/>
    <cellStyle name="Warning Text 2_1 KeyFig" xfId="6100" xr:uid="{00000000-0005-0000-0000-0000041A0000}"/>
    <cellStyle name="Warning Text 3" xfId="509" xr:uid="{00000000-0005-0000-0000-0000051A0000}"/>
    <cellStyle name="Warning Text 3 2" xfId="6101" xr:uid="{00000000-0005-0000-0000-0000061A0000}"/>
    <cellStyle name="Warning Text 3 3" xfId="6102" xr:uid="{00000000-0005-0000-0000-0000071A0000}"/>
    <cellStyle name="Warning Text 3 4" xfId="6103" xr:uid="{00000000-0005-0000-0000-0000081A0000}"/>
    <cellStyle name="Warning Text 3 5" xfId="6104" xr:uid="{00000000-0005-0000-0000-0000091A0000}"/>
    <cellStyle name="Warning Text 3 6" xfId="6105" xr:uid="{00000000-0005-0000-0000-00000A1A0000}"/>
    <cellStyle name="Warning Text 3 7" xfId="6106" xr:uid="{00000000-0005-0000-0000-00000B1A0000}"/>
    <cellStyle name="Warning Text 3 8" xfId="6107" xr:uid="{00000000-0005-0000-0000-00000C1A0000}"/>
    <cellStyle name="Warning Text 3_1 KeyFig" xfId="6108" xr:uid="{00000000-0005-0000-0000-00000D1A0000}"/>
    <cellStyle name="Warning Text 4" xfId="510" xr:uid="{00000000-0005-0000-0000-00000E1A0000}"/>
    <cellStyle name="Warning Text 4 2" xfId="6109" xr:uid="{00000000-0005-0000-0000-00000F1A0000}"/>
    <cellStyle name="Warning Text 4 3" xfId="6110" xr:uid="{00000000-0005-0000-0000-0000101A0000}"/>
    <cellStyle name="Warning Text 4_1 KeyFig" xfId="6111" xr:uid="{00000000-0005-0000-0000-0000111A0000}"/>
    <cellStyle name="Warning Text 5" xfId="511" xr:uid="{00000000-0005-0000-0000-0000121A0000}"/>
    <cellStyle name="Warning Text 5 2" xfId="6112" xr:uid="{00000000-0005-0000-0000-0000131A0000}"/>
    <cellStyle name="Warning Text 5_1 KeyFig" xfId="6113" xr:uid="{00000000-0005-0000-0000-0000141A0000}"/>
    <cellStyle name="Warning Text 6" xfId="6114" xr:uid="{00000000-0005-0000-0000-0000151A0000}"/>
    <cellStyle name="Warning Text 6 2" xfId="6115" xr:uid="{00000000-0005-0000-0000-0000161A0000}"/>
    <cellStyle name="Warning Text 6_1 KeyFig" xfId="6116" xr:uid="{00000000-0005-0000-0000-0000171A0000}"/>
    <cellStyle name="Warning Text 7" xfId="6117" xr:uid="{00000000-0005-0000-0000-0000181A0000}"/>
    <cellStyle name="Warning Text 7 2" xfId="6118" xr:uid="{00000000-0005-0000-0000-0000191A0000}"/>
    <cellStyle name="Warning Text 7_1 KeyFig" xfId="6119" xr:uid="{00000000-0005-0000-0000-00001A1A0000}"/>
    <cellStyle name="Warning Text 8" xfId="6120" xr:uid="{00000000-0005-0000-0000-00001B1A0000}"/>
    <cellStyle name="Warning Text 8 2" xfId="6121" xr:uid="{00000000-0005-0000-0000-00001C1A0000}"/>
    <cellStyle name="Warning Text 8_1 KeyFig" xfId="6122" xr:uid="{00000000-0005-0000-0000-00001D1A0000}"/>
    <cellStyle name="Warning Text 9" xfId="6123" xr:uid="{00000000-0005-0000-0000-00001E1A0000}"/>
    <cellStyle name="Warning Text 9 2" xfId="6124" xr:uid="{00000000-0005-0000-0000-00001F1A0000}"/>
    <cellStyle name="Warning Text 9_1 KeyFig" xfId="6125" xr:uid="{00000000-0005-0000-0000-0000201A0000}"/>
    <cellStyle name="Währung [0]_2ADJ" xfId="513" xr:uid="{00000000-0005-0000-0000-0000211A0000}"/>
    <cellStyle name="Währung_2ADJ" xfId="514" xr:uid="{00000000-0005-0000-0000-0000221A0000}"/>
    <cellStyle name="X-ERT" xfId="11060" xr:uid="{6890A03E-4275-4F73-8AEB-A7F935426619}"/>
    <cellStyle name="X-ERT 2" xfId="11061" xr:uid="{C8D9D08B-AE5D-423A-8742-2D9979BF7913}"/>
    <cellStyle name="X-ERT 3" xfId="11062" xr:uid="{7FEBF1C8-F7BA-41E7-8CBA-A63FC6904ACD}"/>
    <cellStyle name="X-ERT 4" xfId="11063" xr:uid="{333CD03E-9149-4177-BF39-CE520C8D7613}"/>
    <cellStyle name="X-ERT_Australia Results" xfId="11064" xr:uid="{1781016A-2967-4512-A422-00D3EC41EFD0}"/>
    <cellStyle name="X-ERTDisc" xfId="6126" xr:uid="{00000000-0005-0000-0000-0000231A0000}"/>
    <cellStyle name="X-ERTDisc 2" xfId="6127" xr:uid="{00000000-0005-0000-0000-0000241A0000}"/>
    <cellStyle name="X-ERTDisc 3" xfId="11065" xr:uid="{4FCD878F-71AB-49FB-8BEA-AC05049E743A}"/>
    <cellStyle name="X-ERTDisc_1 KeyFig" xfId="6128" xr:uid="{00000000-0005-0000-0000-0000251A0000}"/>
    <cellStyle name="X-ERTDisc1" xfId="6129" xr:uid="{00000000-0005-0000-0000-0000261A0000}"/>
    <cellStyle name="X-ERTDisc10" xfId="11066" xr:uid="{293A10A3-2FD6-4A37-A55C-F356811BAAB0}"/>
    <cellStyle name="X-ERTDisc2" xfId="11067" xr:uid="{916A668F-9223-4F43-9959-6F0288F5684A}"/>
    <cellStyle name="X-ERTDisc3" xfId="6130" xr:uid="{00000000-0005-0000-0000-0000271A0000}"/>
    <cellStyle name="X-ERTDisc3 2" xfId="6131" xr:uid="{00000000-0005-0000-0000-0000281A0000}"/>
    <cellStyle name="X-ERTDisc3 3" xfId="11068" xr:uid="{AC386412-AEA4-468C-9F39-3A58EFA7E245}"/>
    <cellStyle name="X-ERTDisc3_1 KeyFig" xfId="6132" xr:uid="{00000000-0005-0000-0000-0000291A0000}"/>
    <cellStyle name="X-ERTDisc4" xfId="11069" xr:uid="{31164229-7115-4DA3-89EE-E1757B2FD9F9}"/>
    <cellStyle name="X-ERTDisc5" xfId="11070" xr:uid="{C8536348-180F-4640-9B02-996472998498}"/>
    <cellStyle name="X-ERTDisc6" xfId="6133" xr:uid="{00000000-0005-0000-0000-00002A1A0000}"/>
    <cellStyle name="X-ERTDisc6 2" xfId="6134" xr:uid="{00000000-0005-0000-0000-00002B1A0000}"/>
    <cellStyle name="X-ERTDisc6 3" xfId="11071" xr:uid="{910890B6-D351-44C0-9AE8-E8DF571F9180}"/>
    <cellStyle name="X-ERTDisc6_1 KeyFig" xfId="6135" xr:uid="{00000000-0005-0000-0000-00002C1A0000}"/>
    <cellStyle name="X-ERTDisc7" xfId="11072" xr:uid="{AB14F9C3-FA5E-4588-AC46-59B2C42B577C}"/>
    <cellStyle name="X-ERTDisc8" xfId="11073" xr:uid="{FE73DA76-13BB-460D-8BB0-07E244A31465}"/>
    <cellStyle name="X-ERTDisc9" xfId="11074" xr:uid="{408136F3-4133-4DD0-9FD9-9765F038B95E}"/>
    <cellStyle name="Überschrift" xfId="11075" xr:uid="{51700BAA-2E2D-495A-B362-FD914279D259}"/>
    <cellStyle name="Überschrift 1" xfId="11076" xr:uid="{D1246E87-9EE0-4B68-9777-53150602611A}"/>
    <cellStyle name="Überschrift 1 2" xfId="11077" xr:uid="{B6FA2264-B9D6-4F0B-BB9D-CF54CB4C2893}"/>
    <cellStyle name="Überschrift 1_CF" xfId="11078" xr:uid="{686A52E9-F24D-4CBE-B7E1-96DC7A774354}"/>
    <cellStyle name="Überschrift 2" xfId="11079" xr:uid="{0B4BCBC6-EDFF-4757-A7DF-3C61386FA8BF}"/>
    <cellStyle name="Überschrift 2 2" xfId="11080" xr:uid="{D845C414-1014-4AD4-B3A5-2F7176DF713C}"/>
    <cellStyle name="Überschrift 2_CF" xfId="11081" xr:uid="{F3B375EB-06E4-4965-A6E8-EE5FF8E57FBE}"/>
    <cellStyle name="Überschrift 3" xfId="11082" xr:uid="{DDFADFF5-052B-4FCC-AB2F-A4BEA6DDA7B2}"/>
    <cellStyle name="Überschrift 3 2" xfId="11083" xr:uid="{2F69D7C0-74B6-4779-974E-241354F21B0D}"/>
    <cellStyle name="Überschrift 3_CF" xfId="11084" xr:uid="{762C1ADF-0434-4B5E-A8EE-3B2D0F48D961}"/>
    <cellStyle name="Überschrift 4" xfId="11085" xr:uid="{7AC60419-FE9C-4289-BFE9-A0BFBC2D5163}"/>
    <cellStyle name="Überschrift 4 2" xfId="11086" xr:uid="{28A201AE-04CF-4295-ADA3-69B1B7A5D8DA}"/>
    <cellStyle name="Überschrift 4_CF" xfId="11087" xr:uid="{C4614DB1-04A7-442B-9FEA-10D27F6595DB}"/>
    <cellStyle name="Überschrift 5" xfId="11088" xr:uid="{F4031A39-D127-484F-979B-F65343391443}"/>
    <cellStyle name="Überschrift_CF" xfId="11089" xr:uid="{BE5336C6-6ABF-4EB4-8048-2B3ED883B27B}"/>
    <cellStyle name="Zelle überprüfen" xfId="11090" xr:uid="{E00C28DF-B644-4ECA-B628-22AFACD401BB}"/>
    <cellStyle name="Zelle überprüfen 2" xfId="11091" xr:uid="{9A7DECAF-2A66-48BC-A4B0-1605FC9A973F}"/>
    <cellStyle name="Zelle überprüfen_CF" xfId="11092" xr:uid="{04C7A328-8843-40D0-AA52-1CCABF31A108}"/>
    <cellStyle name="Ärenderubrik" xfId="6136" xr:uid="{00000000-0005-0000-0000-00002D1A0000}"/>
    <cellStyle name="Обычный_1BAS" xfId="515" xr:uid="{00000000-0005-0000-0000-00002E1A0000}"/>
    <cellStyle name="ปกติ_1. Jan 2004" xfId="11456" xr:uid="{D19A8741-C398-4C31-AE59-99739C7897D1}"/>
    <cellStyle name="一般_Overdue" xfId="516" xr:uid="{00000000-0005-0000-0000-00002F1A0000}"/>
    <cellStyle name="千位分隔 2" xfId="11093" xr:uid="{EA5ABEEA-0603-4C73-8D98-18008FCD15C9}"/>
    <cellStyle name="千位分隔_0061 DSO DPO-0512-0110" xfId="517" xr:uid="{00000000-0005-0000-0000-0000301A0000}"/>
    <cellStyle name="千分位[0]_Consol 2002-06 (57.12%)07-24" xfId="11094" xr:uid="{D021B6F4-6712-4ABA-A7A9-04BB114E4A1B}"/>
    <cellStyle name="千分位_Book2" xfId="11095" xr:uid="{2A91C452-2583-4F77-A8CB-82B66D3D4E14}"/>
    <cellStyle name="合计金额" xfId="11096" xr:uid="{BD8F1BA0-68F0-4685-B19D-E2D1BE58E594}"/>
    <cellStyle name="常规 2" xfId="11097" xr:uid="{2C11F2D9-CFD2-4310-93A9-AEC1EC854276}"/>
    <cellStyle name="常规_0061 DSO DPO-0512-0110" xfId="518" xr:uid="{00000000-0005-0000-0000-0000311A0000}"/>
    <cellStyle name="未定義" xfId="519" xr:uid="{00000000-0005-0000-0000-0000321A0000}"/>
    <cellStyle name="样式 1" xfId="6137" xr:uid="{00000000-0005-0000-0000-0000331A0000}"/>
    <cellStyle name="標準_材料在庫" xfId="520" xr:uid="{00000000-0005-0000-0000-0000341A0000}"/>
  </cellStyles>
  <dxfs count="0"/>
  <tableStyles count="0" defaultTableStyle="TableStyleMedium2" defaultPivotStyle="PivotStyleLight16"/>
  <colors>
    <mruColors>
      <color rgb="FF00B0F0"/>
      <color rgb="FFFFCD00"/>
      <color rgb="FFF0EBE6"/>
      <color rgb="FF42555A"/>
      <color rgb="FFF0EBEF"/>
      <color rgb="FFF0EBF0"/>
      <color rgb="FF91378C"/>
      <color rgb="FF425563"/>
      <color rgb="FF78736E"/>
      <color rgb="FF2DA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Large</a:t>
            </a:r>
            <a:r>
              <a:rPr lang="en-US" baseline="0"/>
              <a:t> orders</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'Large orders'!$E$3</c:f>
              <c:strCache>
                <c:ptCount val="1"/>
                <c:pt idx="0">
                  <c:v>Sum announced as press release in quarter</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'Large orders'!$D$4:$D$48</c15:sqref>
                  </c15:fullRef>
                </c:ext>
              </c:extLst>
              <c:f>('Large orders'!$D$4,'Large orders'!$D$6,'Large orders'!$D$8,'Large orders'!$D$11,'Large orders'!$D$14:$D$16,'Large orders'!$D$19,'Large orders'!$D$21:$D$22,'Large orders'!$D$25:$D$26,'Large orders'!$D$29,'Large orders'!$D$34,'Large orders'!$D$38:$D$39,'Large orders'!$D$43,'Large orders'!$D$45:$D$48)</c:f>
              <c:strCache>
                <c:ptCount val="21"/>
                <c:pt idx="0">
                  <c:v>Q225</c:v>
                </c:pt>
                <c:pt idx="1">
                  <c:v>Q125</c:v>
                </c:pt>
                <c:pt idx="2">
                  <c:v>Q424</c:v>
                </c:pt>
                <c:pt idx="3">
                  <c:v>Q324</c:v>
                </c:pt>
                <c:pt idx="4">
                  <c:v>Q224</c:v>
                </c:pt>
                <c:pt idx="5">
                  <c:v>Q124</c:v>
                </c:pt>
                <c:pt idx="6">
                  <c:v>Q423</c:v>
                </c:pt>
                <c:pt idx="7">
                  <c:v>Q323</c:v>
                </c:pt>
                <c:pt idx="8">
                  <c:v>Q223</c:v>
                </c:pt>
                <c:pt idx="9">
                  <c:v>Q123</c:v>
                </c:pt>
                <c:pt idx="10">
                  <c:v>Q422</c:v>
                </c:pt>
                <c:pt idx="11">
                  <c:v>Q322</c:v>
                </c:pt>
                <c:pt idx="12">
                  <c:v>Q222</c:v>
                </c:pt>
                <c:pt idx="13">
                  <c:v>Q122</c:v>
                </c:pt>
                <c:pt idx="14">
                  <c:v>Q421</c:v>
                </c:pt>
                <c:pt idx="15">
                  <c:v>Q321</c:v>
                </c:pt>
                <c:pt idx="16">
                  <c:v>Q221</c:v>
                </c:pt>
                <c:pt idx="17">
                  <c:v>Q121</c:v>
                </c:pt>
                <c:pt idx="18">
                  <c:v>Q420</c:v>
                </c:pt>
                <c:pt idx="19">
                  <c:v>Q320</c:v>
                </c:pt>
                <c:pt idx="20">
                  <c:v>Q220</c:v>
                </c:pt>
              </c:strCache>
            </c:strRef>
          </c:cat>
          <c:val>
            <c:numRef>
              <c:extLst>
                <c:ext xmlns:c15="http://schemas.microsoft.com/office/drawing/2012/chart" uri="{02D57815-91ED-43cb-92C2-25804820EDAC}">
                  <c15:fullRef>
                    <c15:sqref>'Large orders'!$E$4:$E$48</c15:sqref>
                  </c15:fullRef>
                </c:ext>
              </c:extLst>
              <c:f>('Large orders'!$E$4,'Large orders'!$E$6,'Large orders'!$E$8,'Large orders'!$E$11,'Large orders'!$E$14:$E$16,'Large orders'!$E$19,'Large orders'!$E$21:$E$22,'Large orders'!$E$25:$E$26,'Large orders'!$E$29,'Large orders'!$E$34,'Large orders'!$E$38:$E$39,'Large orders'!$E$43,'Large orders'!$E$45:$E$48)</c:f>
              <c:numCache>
                <c:formatCode>General</c:formatCode>
                <c:ptCount val="21"/>
                <c:pt idx="0">
                  <c:v>335</c:v>
                </c:pt>
                <c:pt idx="1">
                  <c:v>380</c:v>
                </c:pt>
                <c:pt idx="2">
                  <c:v>450</c:v>
                </c:pt>
                <c:pt idx="3">
                  <c:v>885</c:v>
                </c:pt>
                <c:pt idx="4">
                  <c:v>215</c:v>
                </c:pt>
                <c:pt idx="5">
                  <c:v>200</c:v>
                </c:pt>
                <c:pt idx="6">
                  <c:v>680</c:v>
                </c:pt>
                <c:pt idx="7">
                  <c:v>830</c:v>
                </c:pt>
                <c:pt idx="8">
                  <c:v>130</c:v>
                </c:pt>
                <c:pt idx="9">
                  <c:v>800</c:v>
                </c:pt>
                <c:pt idx="10">
                  <c:v>0</c:v>
                </c:pt>
                <c:pt idx="11">
                  <c:v>730</c:v>
                </c:pt>
                <c:pt idx="12">
                  <c:v>640</c:v>
                </c:pt>
                <c:pt idx="13">
                  <c:v>410</c:v>
                </c:pt>
                <c:pt idx="14">
                  <c:v>0</c:v>
                </c:pt>
                <c:pt idx="15">
                  <c:v>575</c:v>
                </c:pt>
                <c:pt idx="16">
                  <c:v>465</c:v>
                </c:pt>
                <c:pt idx="17">
                  <c:v>130</c:v>
                </c:pt>
                <c:pt idx="18">
                  <c:v>0</c:v>
                </c:pt>
                <c:pt idx="19">
                  <c:v>100</c:v>
                </c:pt>
                <c:pt idx="20">
                  <c:v>190</c:v>
                </c:pt>
              </c:numCache>
            </c:numRef>
          </c:val>
          <c:extLst>
            <c:ext xmlns:c16="http://schemas.microsoft.com/office/drawing/2014/chart" uri="{C3380CC4-5D6E-409C-BE32-E72D297353CC}">
              <c16:uniqueId val="{00000000-065B-4D7B-9F39-BF5D23D153F2}"/>
            </c:ext>
          </c:extLst>
        </c:ser>
        <c:ser>
          <c:idx val="1"/>
          <c:order val="1"/>
          <c:tx>
            <c:strRef>
              <c:f>'Large orders'!$B$3</c:f>
              <c:strCache>
                <c:ptCount val="1"/>
                <c:pt idx="0">
                  <c:v>Total mentioned in call </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'Large orders'!$D$4:$D$48</c15:sqref>
                  </c15:fullRef>
                </c:ext>
              </c:extLst>
              <c:f>('Large orders'!$D$4,'Large orders'!$D$6,'Large orders'!$D$8,'Large orders'!$D$11,'Large orders'!$D$14:$D$16,'Large orders'!$D$19,'Large orders'!$D$21:$D$22,'Large orders'!$D$25:$D$26,'Large orders'!$D$29,'Large orders'!$D$34,'Large orders'!$D$38:$D$39,'Large orders'!$D$43,'Large orders'!$D$45:$D$48)</c:f>
              <c:strCache>
                <c:ptCount val="21"/>
                <c:pt idx="0">
                  <c:v>Q225</c:v>
                </c:pt>
                <c:pt idx="1">
                  <c:v>Q125</c:v>
                </c:pt>
                <c:pt idx="2">
                  <c:v>Q424</c:v>
                </c:pt>
                <c:pt idx="3">
                  <c:v>Q324</c:v>
                </c:pt>
                <c:pt idx="4">
                  <c:v>Q224</c:v>
                </c:pt>
                <c:pt idx="5">
                  <c:v>Q124</c:v>
                </c:pt>
                <c:pt idx="6">
                  <c:v>Q423</c:v>
                </c:pt>
                <c:pt idx="7">
                  <c:v>Q323</c:v>
                </c:pt>
                <c:pt idx="8">
                  <c:v>Q223</c:v>
                </c:pt>
                <c:pt idx="9">
                  <c:v>Q123</c:v>
                </c:pt>
                <c:pt idx="10">
                  <c:v>Q422</c:v>
                </c:pt>
                <c:pt idx="11">
                  <c:v>Q322</c:v>
                </c:pt>
                <c:pt idx="12">
                  <c:v>Q222</c:v>
                </c:pt>
                <c:pt idx="13">
                  <c:v>Q122</c:v>
                </c:pt>
                <c:pt idx="14">
                  <c:v>Q421</c:v>
                </c:pt>
                <c:pt idx="15">
                  <c:v>Q321</c:v>
                </c:pt>
                <c:pt idx="16">
                  <c:v>Q221</c:v>
                </c:pt>
                <c:pt idx="17">
                  <c:v>Q121</c:v>
                </c:pt>
                <c:pt idx="18">
                  <c:v>Q420</c:v>
                </c:pt>
                <c:pt idx="19">
                  <c:v>Q320</c:v>
                </c:pt>
                <c:pt idx="20">
                  <c:v>Q220</c:v>
                </c:pt>
              </c:strCache>
            </c:strRef>
          </c:cat>
          <c:val>
            <c:numRef>
              <c:extLst>
                <c:ext xmlns:c15="http://schemas.microsoft.com/office/drawing/2012/chart" uri="{02D57815-91ED-43cb-92C2-25804820EDAC}">
                  <c15:fullRef>
                    <c15:sqref>'Large orders'!$C$4:$C$45</c15:sqref>
                  </c15:fullRef>
                </c:ext>
              </c:extLst>
              <c:f>('Large orders'!$C$4,'Large orders'!$C$6,'Large orders'!$C$8,'Large orders'!$C$11,'Large orders'!$C$14:$C$16,'Large orders'!$C$19,'Large orders'!$C$21:$C$22,'Large orders'!$C$25:$C$26,'Large orders'!$C$29,'Large orders'!$C$34,'Large orders'!$C$38:$C$39,'Large orders'!$C$43,'Large orders'!$C$45)</c:f>
              <c:numCache>
                <c:formatCode>General</c:formatCode>
                <c:ptCount val="18"/>
                <c:pt idx="0">
                  <c:v>500</c:v>
                </c:pt>
                <c:pt idx="1">
                  <c:v>600</c:v>
                </c:pt>
                <c:pt idx="2">
                  <c:v>820</c:v>
                </c:pt>
                <c:pt idx="3">
                  <c:v>1400</c:v>
                </c:pt>
                <c:pt idx="4">
                  <c:v>950</c:v>
                </c:pt>
                <c:pt idx="5">
                  <c:v>400</c:v>
                </c:pt>
                <c:pt idx="6">
                  <c:v>1200</c:v>
                </c:pt>
                <c:pt idx="7">
                  <c:v>1000</c:v>
                </c:pt>
                <c:pt idx="8">
                  <c:v>550</c:v>
                </c:pt>
                <c:pt idx="9">
                  <c:v>900</c:v>
                </c:pt>
                <c:pt idx="10">
                  <c:v>400</c:v>
                </c:pt>
                <c:pt idx="11">
                  <c:v>1000</c:v>
                </c:pt>
                <c:pt idx="12">
                  <c:v>800</c:v>
                </c:pt>
                <c:pt idx="13">
                  <c:v>800</c:v>
                </c:pt>
                <c:pt idx="14">
                  <c:v>300</c:v>
                </c:pt>
                <c:pt idx="15">
                  <c:v>600</c:v>
                </c:pt>
                <c:pt idx="16">
                  <c:v>500</c:v>
                </c:pt>
                <c:pt idx="17">
                  <c:v>500</c:v>
                </c:pt>
              </c:numCache>
            </c:numRef>
          </c:val>
          <c:extLst>
            <c:ext xmlns:c16="http://schemas.microsoft.com/office/drawing/2014/chart" uri="{C3380CC4-5D6E-409C-BE32-E72D297353CC}">
              <c16:uniqueId val="{00000001-065B-4D7B-9F39-BF5D23D153F2}"/>
            </c:ext>
          </c:extLst>
        </c:ser>
        <c:dLbls>
          <c:showLegendKey val="0"/>
          <c:showVal val="0"/>
          <c:showCatName val="0"/>
          <c:showSerName val="0"/>
          <c:showPercent val="0"/>
          <c:showBubbleSize val="0"/>
        </c:dLbls>
        <c:gapWidth val="150"/>
        <c:axId val="621920808"/>
        <c:axId val="621921136"/>
      </c:barChart>
      <c:catAx>
        <c:axId val="62192080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crossAx val="621921136"/>
        <c:crosses val="autoZero"/>
        <c:auto val="1"/>
        <c:lblAlgn val="ctr"/>
        <c:lblOffset val="100"/>
        <c:noMultiLvlLbl val="0"/>
      </c:catAx>
      <c:valAx>
        <c:axId val="621921136"/>
        <c:scaling>
          <c:orientation val="minMax"/>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crossAx val="62192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Narrow" panose="020B060602020203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147108</xdr:colOff>
      <xdr:row>0</xdr:row>
      <xdr:rowOff>183797</xdr:rowOff>
    </xdr:from>
    <xdr:to>
      <xdr:col>3</xdr:col>
      <xdr:colOff>112889</xdr:colOff>
      <xdr:row>2</xdr:row>
      <xdr:rowOff>98114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7108" y="183797"/>
          <a:ext cx="890059" cy="288261"/>
        </a:xfrm>
        <a:prstGeom prst="rect">
          <a:avLst/>
        </a:prstGeom>
      </xdr:spPr>
    </xdr:pic>
    <xdr:clientData/>
  </xdr:twoCellAnchor>
  <xdr:oneCellAnchor>
    <xdr:from>
      <xdr:col>10</xdr:col>
      <xdr:colOff>0</xdr:colOff>
      <xdr:row>24</xdr:row>
      <xdr:rowOff>0</xdr:rowOff>
    </xdr:from>
    <xdr:ext cx="184731" cy="25455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010400" y="40005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90113" name="FPMExcelClientSheetOptionstb1" hidden="1">
              <a:extLst>
                <a:ext uri="{63B3BB69-23CF-44E3-9099-C40C66FF867C}">
                  <a14:compatExt spid="_x0000_s90113"/>
                </a:ext>
                <a:ext uri="{FF2B5EF4-FFF2-40B4-BE49-F238E27FC236}">
                  <a16:creationId xmlns:a16="http://schemas.microsoft.com/office/drawing/2014/main" id="{00000000-0008-0000-0A00-0000016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2264641</xdr:colOff>
      <xdr:row>49</xdr:row>
      <xdr:rowOff>69850</xdr:rowOff>
    </xdr:from>
    <xdr:to>
      <xdr:col>8</xdr:col>
      <xdr:colOff>565150</xdr:colOff>
      <xdr:row>69</xdr:row>
      <xdr:rowOff>95250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iroc\dfs\ACE_SFO\GFC_Conso\Interim%20Report\2024\2024_Q2%20Interim%20report\Epiroc%20Master%202024_Q2.xlsm" TargetMode="External"/><Relationship Id="rId1" Type="http://schemas.openxmlformats.org/officeDocument/2006/relationships/externalLinkPath" Target="/GFC_Conso/Interim%20Report/2024/2024_Q2%20Interim%20report/Epiroc%20Master%202024_Q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2022\2022_Q2%20Interim%20report\Epiroc%20Master%202022_Q2.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piroc\dfs\ACE_Epiroc_Group\Investor%20Relations\Bra%20att%20ha\Atlas%20Copco%20Key%20figures.xlsx" TargetMode="External"/><Relationship Id="rId1" Type="http://schemas.openxmlformats.org/officeDocument/2006/relationships/externalLinkPath" Target="/ACE_Epiroc_Group/Investor%20Relations/Bra%20att%20ha/Atlas%20Copco%20Key%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y"/>
      <sheetName val="Period Admin"/>
      <sheetName val="Tbl_(I)_(M)"/>
      <sheetName val="Tbl_IDXQ_(I)_(M)"/>
      <sheetName val="Tbl_IDXD_(I)_(M)"/>
      <sheetName val="Tbl_(P)_(M)"/>
      <sheetName val="SysAdmin"/>
      <sheetName val="TblAdmin"/>
      <sheetName val="Validations"/>
      <sheetName val="FIN_CONSO"/>
      <sheetName val="SALES_GP"/>
      <sheetName val="AR Bridges"/>
      <sheetName val="Q Bridges"/>
      <sheetName val="OpCF-PPT"/>
      <sheetName val="Consensus"/>
      <sheetName val="Txt"/>
      <sheetName val="Graphs_(D)"/>
      <sheetName val="TillWebPub"/>
      <sheetName val="FinOv_(I)"/>
      <sheetName val="FinOv_(P)"/>
      <sheetName val="Table1_(I)"/>
      <sheetName val="Table1_(P)"/>
      <sheetName val="Q_SB_(I)"/>
      <sheetName val="Q_SB_(P)"/>
      <sheetName val="YTD_SB_(I)"/>
      <sheetName val="YTD_SB_(P)"/>
      <sheetName val="Q_PB_(I)"/>
      <sheetName val="Q_PB_(P)"/>
      <sheetName val="YTD_PB_(I)"/>
      <sheetName val="YTD_PB_(P)"/>
      <sheetName val="IS_(I)"/>
      <sheetName val="IS_(P)"/>
      <sheetName val="BS_(I)"/>
      <sheetName val="BS_(P)"/>
      <sheetName val="Eq_(I)"/>
      <sheetName val="Eq_(P)"/>
      <sheetName val="CF_(I)"/>
      <sheetName val="CF_(P)"/>
      <sheetName val="AB_IS_(I)"/>
      <sheetName val="AB_IS_(P)"/>
      <sheetName val="AB_BS_(I)"/>
      <sheetName val="AB_BS_(P)"/>
      <sheetName val="Segm_(I)"/>
      <sheetName val="Segm_(P)"/>
      <sheetName val="Geo_(I)"/>
      <sheetName val="Geo_(P)"/>
      <sheetName val="Acq_(I)"/>
      <sheetName val="Acq_(P)"/>
      <sheetName val="Deriv_(I)"/>
      <sheetName val="Deriv_(P)"/>
      <sheetName val="SBB_(I)"/>
      <sheetName val="SBB_(P)"/>
      <sheetName val="KeyFig_(I)"/>
      <sheetName val="KeyFig_(P)"/>
      <sheetName val="Sign"/>
      <sheetName val="APMs_(I)"/>
      <sheetName val="APMs_(P)"/>
      <sheetName val="WebKeyFig"/>
      <sheetName val="ESG_(I)"/>
      <sheetName val="ESG_(P)"/>
      <sheetName val="ESG data"/>
      <sheetName val="INPUT_OCI"/>
      <sheetName val="INPUT_CF"/>
      <sheetName val="INPUT_MANUAL"/>
      <sheetName val="KeyFig_Calc_(I)"/>
      <sheetName val="KeyFig_Calc_(P)"/>
    </sheetNames>
    <sheetDataSet>
      <sheetData sheetId="0"/>
      <sheetData sheetId="1">
        <row r="10">
          <cell r="J10" t="str">
            <v>Q2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y"/>
      <sheetName val="Period Admin"/>
      <sheetName val="Tbl_(I)_(M)"/>
      <sheetName val="Tbl_IDXQ_(I)_(M)"/>
      <sheetName val="Tbl_IDXD_(I)_(M)"/>
      <sheetName val="Tbl_(P)_(M)"/>
      <sheetName val="SysAdmin"/>
      <sheetName val="TblAdmin"/>
      <sheetName val="Validations"/>
      <sheetName val="FIN_CONSO"/>
      <sheetName val="SALES_GP"/>
      <sheetName val="AR Bridges"/>
      <sheetName val="Q Bridges"/>
      <sheetName val="OpCF-PPT"/>
      <sheetName val="Consensus"/>
      <sheetName val="Txt"/>
      <sheetName val="Graphs_(D)"/>
      <sheetName val="TillWebPub"/>
      <sheetName val="FinOv_(I)"/>
      <sheetName val="FinOv_(P)"/>
      <sheetName val="Table1_(I)"/>
      <sheetName val="Table1_(P)"/>
      <sheetName val="Q_SB_(I)"/>
      <sheetName val="Q_SB_(P)"/>
      <sheetName val="YTD_SB_(I)"/>
      <sheetName val="YTD_SB_(P)"/>
      <sheetName val="Q_PB_(I)"/>
      <sheetName val="Q_PB_(P)"/>
      <sheetName val="YTD_PB_(I)"/>
      <sheetName val="YTD_PB_(P)"/>
      <sheetName val="IS_(I)"/>
      <sheetName val="IS_(P)"/>
      <sheetName val="BS_(I)"/>
      <sheetName val="BS_(P)"/>
      <sheetName val="Eq_(I)"/>
      <sheetName val="Eq_(P)"/>
      <sheetName val="CF_(I)"/>
      <sheetName val="CF_(P)"/>
      <sheetName val="AB_IS_(I)"/>
      <sheetName val="AB_IS_(P)"/>
      <sheetName val="AB_BS_(I)"/>
      <sheetName val="AB_BS_(P)"/>
      <sheetName val="Segm_(I)"/>
      <sheetName val="Segm_(P)"/>
      <sheetName val="Geo_(I)"/>
      <sheetName val="Geo_(P)"/>
      <sheetName val="Acq_(I)"/>
      <sheetName val="Acq_(P)"/>
      <sheetName val="Deriv_(I)"/>
      <sheetName val="Deriv_(P)"/>
      <sheetName val="SBB_(I)"/>
      <sheetName val="SBB_(P)"/>
      <sheetName val="KeyFig_(I)"/>
      <sheetName val="KeyFig_(P)"/>
      <sheetName val="Sign"/>
      <sheetName val="APMs_(I)"/>
      <sheetName val="APMs_(P)"/>
      <sheetName val="WebKeyFig"/>
      <sheetName val="ESG_(I)"/>
      <sheetName val="ESG_(P)"/>
      <sheetName val="ESG data"/>
      <sheetName val="INPUT_OCI"/>
      <sheetName val="INPUT_CF"/>
      <sheetName val="INPUT_MANUAL"/>
      <sheetName val="KeyFig_Calc_(I)"/>
      <sheetName val="KeyFig_Calc_(P)"/>
    </sheetNames>
    <sheetDataSet>
      <sheetData sheetId="0"/>
      <sheetData sheetId="1">
        <row r="8">
          <cell r="D8">
            <v>2022</v>
          </cell>
        </row>
        <row r="9">
          <cell r="J9">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PAGE"/>
      <sheetName val=" Q IS SEK"/>
      <sheetName val="Q BS SEK"/>
      <sheetName val="Q CF SEK"/>
      <sheetName val="Q SB SEK"/>
      <sheetName val="Y IS SEK"/>
      <sheetName val="Y BS SEK"/>
      <sheetName val="Y CF SEK"/>
      <sheetName val="Y SB SEK"/>
      <sheetName val="Key Ratios - SEK"/>
      <sheetName val="Sustainability"/>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Karin Larsson" id="{FACD4232-6E6E-4732-91D3-694142B4E09D}" userId="S::karin.larsson@epiroc.com::9e0cde62-af6c-495c-bb17-e7aa5e3e6c79" providerId="AD"/>
  <person displayName="Alexander Apell" id="{8A8B9147-D73F-42E2-ACA7-7BDF060ADD42}" userId="S::alexander.apell@epiroc.com::9a9ed020-c5ed-45e4-84d6-ff19661531aa" providerId="AD"/>
</personList>
</file>

<file path=xl/theme/theme1.xml><?xml version="1.0" encoding="utf-8"?>
<a:theme xmlns:a="http://schemas.openxmlformats.org/drawingml/2006/main" name="Office Theme">
  <a:themeElements>
    <a:clrScheme name="Epiroc">
      <a:dk1>
        <a:sysClr val="windowText" lastClr="000000"/>
      </a:dk1>
      <a:lt1>
        <a:sysClr val="window" lastClr="FFFFFF"/>
      </a:lt1>
      <a:dk2>
        <a:srgbClr val="425563"/>
      </a:dk2>
      <a:lt2>
        <a:srgbClr val="E7E6E6"/>
      </a:lt2>
      <a:accent1>
        <a:srgbClr val="FFCD00"/>
      </a:accent1>
      <a:accent2>
        <a:srgbClr val="425563"/>
      </a:accent2>
      <a:accent3>
        <a:srgbClr val="B4B4AA"/>
      </a:accent3>
      <a:accent4>
        <a:srgbClr val="91378C"/>
      </a:accent4>
      <a:accent5>
        <a:srgbClr val="F0EBE6"/>
      </a:accent5>
      <a:accent6>
        <a:srgbClr val="DC0A3C"/>
      </a:accent6>
      <a:hlink>
        <a:srgbClr val="2EAFE6"/>
      </a:hlink>
      <a:folHlink>
        <a:srgbClr val="91378C"/>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Q10" dT="2024-10-24T11:18:58.82" personId="{FACD4232-6E6E-4732-91D3-694142B4E09D}" id="{848958A9-20D3-471E-B7B1-348E7E675B25}">
    <text>Includes impairment of acquisition-related intangible assets of MSEK 302.</text>
  </threadedComment>
</ThreadedComments>
</file>

<file path=xl/threadedComments/threadedComment2.xml><?xml version="1.0" encoding="utf-8"?>
<ThreadedComments xmlns="http://schemas.microsoft.com/office/spreadsheetml/2018/threadedcomments" xmlns:x="http://schemas.openxmlformats.org/spreadsheetml/2006/main">
  <threadedComment ref="G3" dT="2023-03-30T13:05:17.89" personId="{FACD4232-6E6E-4732-91D3-694142B4E09D}" id="{059C6A9D-8676-4FCC-AC6D-1043EC857275}">
    <text xml:space="preserve">The IT-function moved from group function to E&amp;S in Q2 2020. Figures for 2018 to Q1 2020 have been restated. </text>
  </threadedComment>
  <threadedComment ref="I3" dT="2023-03-30T13:07:02.69" personId="{FACD4232-6E6E-4732-91D3-694142B4E09D}" id="{C4F6B35F-AEC0-4F2C-A6AB-EF64CFAB3240}">
    <text xml:space="preserve">Exploration moved from T&amp;A to E&amp;S (Equipment) in Q1 2023. Figures for 2022 have been restated. 
</text>
  </threadedComment>
  <threadedComment ref="AG3" dT="2023-03-30T13:07:38.56" personId="{FACD4232-6E6E-4732-91D3-694142B4E09D}" id="{F1EEDEDE-F6D6-408D-9FE7-BD8D0CAA71E8}">
    <text xml:space="preserve">Exploration moved from T&amp;A to E&amp;S (Equipment) in Q1 2023. Figures for 2022 have been restated. </text>
  </threadedComment>
  <threadedComment ref="AJ8" dT="2023-03-30T10:41:40.43" personId="{FACD4232-6E6E-4732-91D3-694142B4E09D}" id="{753266E8-528F-4F40-AB07-9A303334D48D}">
    <text xml:space="preserve">Some equipment orders in North America were booked as operational lease, i.e has to be adjusted for. 
</text>
  </threadedComment>
  <threadedComment ref="AM8" dT="2023-10-27T08:52:21.17" personId="{FACD4232-6E6E-4732-91D3-694142B4E09D}" id="{866B083B-9408-4062-90F7-3502106AF793}">
    <text xml:space="preserve">A meaningful portion of MSEK 125 relates to late customer finance equipment orders in the quarter. These shall be allocated to North America. </text>
  </threadedComment>
  <threadedComment ref="A12" dT="2024-03-18T12:24:06.47" personId="{FACD4232-6E6E-4732-91D3-694142B4E09D}" id="{E659F588-ADF6-4B34-B26C-0E181B86912C}">
    <text xml:space="preserve">Until Q4 2023, Epiroc added order books from acquired businesses in Orders received. It was called “Orders on hand”. Since Q1 2024, only orders that was awarded in the actual quarter is included in Orders received. Any orderbook will be mentioned separately. 
</text>
  </threadedComment>
  <threadedComment ref="AE13" dT="2024-03-18T12:32:08.66" personId="{FACD4232-6E6E-4732-91D3-694142B4E09D}" id="{68BC4610-6745-4655-9A65-5C8D2ADFC0DE}">
    <text xml:space="preserve">Acquisitions (structure) contributed with 6%, whereof nearly half relates to booked orders-onhand of acquired companies (Meglab and Mining Tag). </text>
  </threadedComment>
  <threadedComment ref="AH13" dT="2024-03-18T12:35:17.07" personId="{FACD4232-6E6E-4732-91D3-694142B4E09D}" id="{00497446-11C5-4D30-91F0-2F3FBCF3C233}">
    <text xml:space="preserve">Acquisitions contributed 5%, whereof approximately 3 percentage points relates to orders-on-hand of the acquired company JTMEC. </text>
  </threadedComment>
  <threadedComment ref="AJ13" dT="2024-03-18T12:38:46.08" personId="{FACD4232-6E6E-4732-91D3-694142B4E09D}" id="{C602C169-028C-4549-81B9-26ED6EF20543}">
    <text xml:space="preserve">The orders received also included orders on hand from acquired companies. These had a positive impact of approximately 11% (RCT). </text>
  </threadedComment>
  <threadedComment ref="AE14" dT="2024-03-18T12:32:47.31" personId="{FACD4232-6E6E-4732-91D3-694142B4E09D}" id="{B10844F6-BC38-4273-8D25-ED325817C0BF}">
    <text xml:space="preserve">Acquisitions (structure) contributed with 11%, whereof approximately two thirds relates to booked orders-on-hand of acquired companies (DandA Heavy Industries). </text>
  </threadedComment>
  <threadedComment ref="AJ14" dT="2024-03-18T12:39:19.63" personId="{FACD4232-6E6E-4732-91D3-694142B4E09D}" id="{F759A8C0-19C8-46B0-BCF8-9CCDFECA6C27}">
    <text xml:space="preserve">The orders received also included orders on hand from acquired companies. These have a positive impact of approximately 1% (Wain Roy). </text>
  </threadedComment>
  <threadedComment ref="AK14" dT="2024-03-18T12:40:10.21" personId="{FACD4232-6E6E-4732-91D3-694142B4E09D}" id="{3987014B-7C30-47F3-9121-80B6215D4742}">
    <text xml:space="preserve">Figures in this table have been restated.
In the published report, acquisitions contributed with 24% (whereof orders on hand from CR of approximately 13 percentage points) </text>
  </threadedComment>
  <threadedComment ref="AE15" dT="2024-03-18T12:33:16.90" personId="{FACD4232-6E6E-4732-91D3-694142B4E09D}" id="{D6F53BF2-F053-460A-BFAD-7D456F0741CE}">
    <text xml:space="preserve">Acquisitions (structure) contributed with 7%, whereof approximately half relates to booked orders-on-hand of acquired companies. </text>
  </threadedComment>
  <threadedComment ref="AH15" dT="2024-03-18T12:34:55.23" personId="{FACD4232-6E6E-4732-91D3-694142B4E09D}" id="{5369ECBB-9AD1-42B1-96E1-BA7FEDB6AC0F}">
    <text xml:space="preserve">Acquisitions contributed with 5%, whereof close to half relates to orders-on-hand of the acquired company JTMEC. </text>
  </threadedComment>
  <threadedComment ref="AJ15" dT="2024-03-18T12:36:39.99" personId="{FACD4232-6E6E-4732-91D3-694142B4E09D}" id="{5BEEAFAB-DB09-4F01-901D-90B92F8EF3C5}">
    <text xml:space="preserve">The orders received also included orders on hand from acquired companies. These had a positive impact of approximately 9%. </text>
  </threadedComment>
  <threadedComment ref="AK15" dT="2024-03-18T12:39:46.59" personId="{FACD4232-6E6E-4732-91D3-694142B4E09D}" id="{D8F8E2DA-2361-41C5-A2BC-E973036BC377}">
    <text xml:space="preserve">Figures in this table have been restated.
In the published report, structure (acquisitions) contributed with 10% (whereof orders on hand of approximately 3 percentage points) </text>
  </threadedComment>
  <threadedComment ref="A59" dT="2023-07-13T14:52:30.35" personId="{FACD4232-6E6E-4732-91D3-694142B4E09D}" id="{47C46AB2-4347-492B-8331-0CAE5C3ACF7D}">
    <text xml:space="preserve">Generally, when the share price increases, it is a cost. When the share price decreases, it is a gain. </text>
  </threadedComment>
  <threadedComment ref="AF62" dT="2023-01-30T12:47:05.57" personId="{FACD4232-6E6E-4732-91D3-694142B4E09D}" id="{90321B59-51FA-4130-B875-0E6691D6D835}">
    <text>Q4 2021 includes a positive revaluation effect of the shares held prior to the acquisition of the remaining shares of Mobilaris of MSEK 167.</text>
  </threadedComment>
  <threadedComment ref="AH62" dT="2023-01-30T12:48:51.18" personId="{FACD4232-6E6E-4732-91D3-694142B4E09D}" id="{D73932B1-6DE7-462C-8239-2945F519FB01}">
    <text xml:space="preserve">Provisions related to Russia of MSEK -327 and restructuring costs related to the
relocation of manufacturing from Japan to China of MSEK -95. </text>
  </threadedComment>
  <threadedComment ref="AI62" dT="2023-01-30T12:47:54.42" personId="{FACD4232-6E6E-4732-91D3-694142B4E09D}" id="{2C231D49-77C4-4BC9-853E-9775A9B84582}">
    <text>Provisions
related to Russia of MSEK -138</text>
  </threadedComment>
  <threadedComment ref="AM62" dT="2023-10-20T09:40:51.44" personId="{FACD4232-6E6E-4732-91D3-694142B4E09D}" id="{596D30B3-ADAF-4368-A071-CFC6DF1BD74E}">
    <text xml:space="preserve">Remeasurement related to a prior year acquisition of MSEK 7 </text>
  </threadedComment>
  <threadedComment ref="AN62" dT="2024-01-23T16:25:00.65" personId="{FACD4232-6E6E-4732-91D3-694142B4E09D}" id="{BCADD9A2-2B6E-4F24-A847-B15A641342C6}">
    <text>Equipment &amp; Service included items affecting comparability of MSEK 280. This is mainly explained by a capital gain from the sale of the property in Japan of MSEK 436, earn-out payments for acquisitions of MSEK -58 and other costs of MSEK -98.</text>
  </threadedComment>
  <threadedComment ref="AP62" dT="2024-07-12T12:41:45.85" personId="{FACD4232-6E6E-4732-91D3-694142B4E09D}" id="{78A4A173-0569-48CF-979B-3798BB4421C1}">
    <text xml:space="preserve">Items affecting comparability amounted to MSEK -142 (0), including earn-out for RCT of MSEK -73 as well as restructuring costs of MSEK -69. </text>
  </threadedComment>
  <threadedComment ref="AQ62" dT="2024-10-24T11:18:00.99" personId="{FACD4232-6E6E-4732-91D3-694142B4E09D}" id="{EA448C0E-FA61-4302-8296-DBC7A4A8FFC1}">
    <text xml:space="preserve">In Q3, Equipment &amp; Service included items affecting comparability of net MSEK 208 (positive revaluation effect of the shares held prior to the acquisition of ASI Mining MSEK +554 and impairments of intangible assets related to acquisitions of MSEK -346). </text>
  </threadedComment>
  <threadedComment ref="AR62" dT="2025-07-17T11:25:00.03" personId="{FACD4232-6E6E-4732-91D3-694142B4E09D}" id="{06C698DE-D457-4F67-9226-041F257276E8}">
    <text>Earn out for the acquisition of RCT.</text>
  </threadedComment>
  <threadedComment ref="AT62" dT="2025-07-17T11:22:02.35" personId="{FACD4232-6E6E-4732-91D3-694142B4E09D}" id="{E48970DC-7C27-4044-A8E6-FDC3F3CC9307}">
    <text xml:space="preserve">Cost taken to increase efficiency onwards. </text>
  </threadedComment>
  <threadedComment ref="AH63" dT="2023-01-30T12:49:33.95" personId="{FACD4232-6E6E-4732-91D3-694142B4E09D}" id="{51A4EA31-307A-467B-B70C-B63D6832076B}">
    <text>Provisions of MSEK -73 related to Russia</text>
  </threadedComment>
  <threadedComment ref="AI63" dT="2023-01-30T12:49:14.01" personId="{FACD4232-6E6E-4732-91D3-694142B4E09D}" id="{551587D5-3619-431F-8B14-63DB3DE33078}">
    <text xml:space="preserve">Provisions related to Russia of
MSEK -12. </text>
  </threadedComment>
  <threadedComment ref="AN63" dT="2024-01-23T16:25:17.38" personId="{FACD4232-6E6E-4732-91D3-694142B4E09D}" id="{24B719A8-BAA8-4017-8B0E-A1AD3409982D}">
    <text>Tools &amp; Attachments included items affecting comparability of MSEK -158, which is related to the planned closure of the manufacturing plant in Essen, Germany.</text>
  </threadedComment>
  <threadedComment ref="AO63" dT="2024-07-12T12:41:03.66" personId="{FACD4232-6E6E-4732-91D3-694142B4E09D}" id="{A8AD9050-8A29-4355-B10D-BAD9F5C48835}">
    <text xml:space="preserve">Transaction and integration costs for M&amp;A. (Stanley Infrastructure) </text>
  </threadedComment>
  <threadedComment ref="AP63" dT="2024-07-12T12:41:23.97" personId="{FACD4232-6E6E-4732-91D3-694142B4E09D}" id="{B6E4A001-A2B7-46BA-9FC9-0F82C4B686DA}">
    <text xml:space="preserve">Items affecting comparability amounted to MSEK -165 (0), including transaction and integration costs for acquisitions of MSEK -130 and restructuring costs of MSEK -35. </text>
  </threadedComment>
  <threadedComment ref="AT63" dT="2025-07-17T11:21:24.70" personId="{FACD4232-6E6E-4732-91D3-694142B4E09D}" id="{250D66D7-2917-4DC9-BC10-29E50DEEC3E9}">
    <text xml:space="preserve">MSEK 70 relates to closure of tools manufacturing in Canada, which is moved to Mexico. The rest is cost taken to improve efficiency onwards. </text>
  </threadedComment>
</ThreadedComments>
</file>

<file path=xl/threadedComments/threadedComment3.xml><?xml version="1.0" encoding="utf-8"?>
<ThreadedComments xmlns="http://schemas.microsoft.com/office/spreadsheetml/2018/threadedcomments" xmlns:x="http://schemas.openxmlformats.org/spreadsheetml/2006/main">
  <threadedComment ref="I3" dT="2023-03-30T13:08:09.63" personId="{FACD4232-6E6E-4732-91D3-694142B4E09D}" id="{0EB5DDEA-28FD-4B9E-9593-0564C0F23E71}">
    <text xml:space="preserve">Exploration moved from T&amp;A to E&amp;S (Equipment) in Q1 2023. Figures for 2022 have been restated. 
</text>
  </threadedComment>
  <threadedComment ref="AG3" dT="2023-03-30T13:07:38.56" personId="{FACD4232-6E6E-4732-91D3-694142B4E09D}" id="{E4D75069-6281-485C-8656-7311AF2F157B}">
    <text xml:space="preserve">Exploration moved from T&amp;A to E&amp;S (Equipment) in Q1 2023. Figures for 2022 have been restated. </text>
  </threadedComment>
  <threadedComment ref="AG165" dT="2023-03-30T13:07:38.56" personId="{FACD4232-6E6E-4732-91D3-694142B4E09D}" id="{1C7CEEA3-6D9B-4A74-AD2D-BE4C0520B786}">
    <text xml:space="preserve">Epiroc stopped deliveries to Russia 2022-03-01. 
Exploration moved from T&amp;A to E&amp;S (Equipment) in Q1 2023. Figures for 2022 have been restated. </text>
  </threadedComment>
  <threadedComment ref="AH165" dT="2023-03-30T13:34:29.85" personId="{FACD4232-6E6E-4732-91D3-694142B4E09D}" id="{D12740B5-2F4C-4CBA-9CC8-3BECD49C0A88}">
    <text xml:space="preserve">Customer cancellations in Russia of MSEK 400
</text>
  </threadedComment>
  <threadedComment ref="AI165" dT="2023-03-30T13:35:01.96" personId="{FACD4232-6E6E-4732-91D3-694142B4E09D}" id="{051EBDA0-C2E8-444D-A0D6-DA8C55EBBA8D}">
    <text xml:space="preserve">Russian orderbook removed. Will not be delivered. </text>
  </threadedComment>
</ThreadedComments>
</file>

<file path=xl/threadedComments/threadedComment4.xml><?xml version="1.0" encoding="utf-8"?>
<ThreadedComments xmlns="http://schemas.microsoft.com/office/spreadsheetml/2018/threadedcomments" xmlns:x="http://schemas.openxmlformats.org/spreadsheetml/2006/main">
  <threadedComment ref="AN24" dT="2024-01-23T16:48:26.65" personId="{FACD4232-6E6E-4732-91D3-694142B4E09D}" id="{F75ED965-44F3-41E4-A95D-0D3FA8E9EEFC}">
    <text>This is mainly explained by a capital gain from a sale of a property in Japan of MSEK 436.</text>
  </threadedComment>
  <threadedComment ref="AI31" dT="2023-01-30T12:50:39.38" personId="{FACD4232-6E6E-4732-91D3-694142B4E09D}" id="{319747BE-1BB0-446C-9FE4-D29E8D1650AE}">
    <text>In the third quarter 2022, Epiroc acquired the full remaining non-controlling interest of Epiroc Mining India Ltd for MSEK -173.</text>
  </threadedComment>
  <threadedComment ref="AN31" dT="2024-01-23T16:29:58.79" personId="{FACD4232-6E6E-4732-91D3-694142B4E09D}" id="{930522E8-26EB-49B3-AC1A-2FC3A8FFA62A}">
    <text xml:space="preserve">Increased ownership in Radlink. Prev. Ownership was 53%. </text>
  </threadedComment>
  <threadedComment ref="AT31" dT="2025-07-17T11:23:28.66" personId="{FACD4232-6E6E-4732-91D3-694142B4E09D}" id="{36727E76-1D74-43FE-BFCD-CD045DFC7A15}">
    <text xml:space="preserve">The transaction related to the acquisition of the minority share of Radlink led to MSEK -355 in cash flow from financing activities. </text>
  </threadedComment>
</ThreadedComments>
</file>

<file path=xl/threadedComments/threadedComment5.xml><?xml version="1.0" encoding="utf-8"?>
<ThreadedComments xmlns="http://schemas.microsoft.com/office/spreadsheetml/2018/threadedcomments" xmlns:x="http://schemas.openxmlformats.org/spreadsheetml/2006/main">
  <threadedComment ref="AG7" dT="2024-04-22T15:04:23.48" personId="{FACD4232-6E6E-4732-91D3-694142B4E09D}" id="{C40CF58A-8E14-4FB6-8FB7-999486307E95}">
    <text xml:space="preserve">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
</text>
  </threadedComment>
  <threadedComment ref="AG9" dT="2024-04-22T15:04:31.21" personId="{FACD4232-6E6E-4732-91D3-694142B4E09D}" id="{3E22A4E0-5FA5-4E16-A431-ACCE3F6DAC62}">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10" dT="2023-01-30T21:33:07.18" personId="{FACD4232-6E6E-4732-91D3-694142B4E09D}" id="{DD7E1653-C739-43D3-89EA-726D332E5658}">
    <text>Not adjusted for Russia</text>
  </threadedComment>
  <threadedComment ref="AE10" dT="2023-01-30T21:34:45.36" personId="{FACD4232-6E6E-4732-91D3-694142B4E09D}" id="{B3E01431-9A6D-46A5-B214-E53B9D498D05}">
    <text>Not adjusted for Russia</text>
  </threadedComment>
  <threadedComment ref="AF10" dT="2023-01-30T21:33:07.18" personId="{FACD4232-6E6E-4732-91D3-694142B4E09D}" id="{A805AD51-7479-4FE0-B7B3-FC2036E204F9}">
    <text>Not adjusted for Russia</text>
  </threadedComment>
  <threadedComment ref="AG10" dT="2023-01-30T21:33:07.18" personId="{FACD4232-6E6E-4732-91D3-694142B4E09D}" id="{5D35B491-88FA-4B8B-8A75-403CFEF03094}">
    <text>Not adjusted for Russia</text>
  </threadedComment>
  <threadedComment ref="AD15" dT="2024-04-22T17:29:38.03" personId="{FACD4232-6E6E-4732-91D3-694142B4E09D}" id="{3DC45AE5-B950-40DE-8024-2F6A70497AD5}">
    <text xml:space="preserve">See ex. Russia below. </text>
  </threadedComment>
  <threadedComment ref="AE15" dT="2024-04-22T17:29:44.11" personId="{FACD4232-6E6E-4732-91D3-694142B4E09D}" id="{9DBF0F52-DA9A-422F-B6E0-5BF2B57E7C6C}">
    <text xml:space="preserve">See ex. Russia below. </text>
  </threadedComment>
  <threadedComment ref="AF15" dT="2024-04-22T17:29:49.41" personId="{FACD4232-6E6E-4732-91D3-694142B4E09D}" id="{7FF7AD58-C3C3-4974-A130-98EF633FEDC1}">
    <text xml:space="preserve">See ex. Russia below. </text>
  </threadedComment>
  <threadedComment ref="AG15" dT="2024-04-22T17:29:54.18" personId="{FACD4232-6E6E-4732-91D3-694142B4E09D}" id="{FE9ADD88-CB0B-4FE2-9774-271FCAF651FD}">
    <text xml:space="preserve">See ex. Russia below. </text>
  </threadedComment>
  <threadedComment ref="AH15" dT="2024-04-22T17:30:09.36" personId="{FACD4232-6E6E-4732-91D3-694142B4E09D}" id="{8A51E063-8EB8-4A1F-8ACC-AFD1BCDEA8E1}">
    <text xml:space="preserve">See ex. Russia below. </text>
  </threadedComment>
  <threadedComment ref="AI15" dT="2024-04-22T17:30:15.79" personId="{FACD4232-6E6E-4732-91D3-694142B4E09D}" id="{FED1258D-8B31-4865-86DF-EB961FD77535}">
    <text xml:space="preserve">See ex. Russia below. </text>
  </threadedComment>
  <threadedComment ref="AG17" dT="2024-04-22T15:04:42.05" personId="{FACD4232-6E6E-4732-91D3-694142B4E09D}" id="{102698CD-B30C-4DCC-9257-9592564447C8}">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19" dT="2024-04-22T15:04:50.35" personId="{FACD4232-6E6E-4732-91D3-694142B4E09D}" id="{1ED4D25E-A2DE-4DA5-9D14-233A317851AE}">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20" dT="2023-01-30T21:33:41.27" personId="{FACD4232-6E6E-4732-91D3-694142B4E09D}" id="{EFB49135-B39F-4ACE-9609-607A119DC7B9}">
    <text>Not adjusted for Russia</text>
  </threadedComment>
  <threadedComment ref="AE20" dT="2023-01-30T21:33:41.27" personId="{FACD4232-6E6E-4732-91D3-694142B4E09D}" id="{7D2C0469-0878-4516-81F1-C112B2F19865}">
    <text>Not adjusted for Russia</text>
  </threadedComment>
  <threadedComment ref="AF20" dT="2023-01-30T21:33:41.27" personId="{FACD4232-6E6E-4732-91D3-694142B4E09D}" id="{859EB98C-4FA0-4837-9720-0AEC84EA946D}">
    <text>Not adjusted for Russia</text>
  </threadedComment>
  <threadedComment ref="AG20" dT="2023-01-30T21:33:41.27" personId="{FACD4232-6E6E-4732-91D3-694142B4E09D}" id="{1FE664A9-7156-4724-94E9-E0F2BEAA65EA}">
    <text>Not adjusted for Russia</text>
  </threadedComment>
  <threadedComment ref="AG35" dT="2024-04-22T15:04:59.15" personId="{FACD4232-6E6E-4732-91D3-694142B4E09D}" id="{702715CB-1D15-400F-B7F6-23726CC0FA43}">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36" dT="2024-04-22T15:05:03.62" personId="{FACD4232-6E6E-4732-91D3-694142B4E09D}" id="{7E5FD148-6248-4B57-A255-CA813A9592D6}">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43" dT="2024-04-22T15:05:14.92" personId="{FACD4232-6E6E-4732-91D3-694142B4E09D}" id="{21C0A976-EFB4-47EE-B0AA-1B7C0EE73B30}">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44" dT="2024-04-22T15:05:19.52" personId="{FACD4232-6E6E-4732-91D3-694142B4E09D}" id="{2B542D22-BD73-479A-A5FD-0FF6AEC9716B}">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46" dT="2023-01-30T21:33:41.27" personId="{FACD4232-6E6E-4732-91D3-694142B4E09D}" id="{0672675B-5B81-4D76-82DF-B8F2CB5D4B1D}">
    <text>Not adjusted for Russia</text>
  </threadedComment>
  <threadedComment ref="AE46" dT="2023-01-30T21:33:41.27" personId="{FACD4232-6E6E-4732-91D3-694142B4E09D}" id="{18E3D3A4-E6FF-4449-BFEC-E3807944C801}">
    <text>Not adjusted for Russia</text>
  </threadedComment>
  <threadedComment ref="AF46" dT="2023-01-30T21:33:41.27" personId="{FACD4232-6E6E-4732-91D3-694142B4E09D}" id="{37476E75-AE27-44CB-83C3-26A8EF16D837}">
    <text>Not adjusted for Russia</text>
  </threadedComment>
  <threadedComment ref="AG46" dT="2023-01-30T21:33:41.27" personId="{FACD4232-6E6E-4732-91D3-694142B4E09D}" id="{0754058B-5176-4D72-B83D-F51EB9E16DA0}">
    <text>Not adjusted for Russia</text>
  </threadedComment>
</ThreadedComments>
</file>

<file path=xl/threadedComments/threadedComment6.xml><?xml version="1.0" encoding="utf-8"?>
<ThreadedComments xmlns="http://schemas.microsoft.com/office/spreadsheetml/2018/threadedcomments" xmlns:x="http://schemas.openxmlformats.org/spreadsheetml/2006/main">
  <threadedComment ref="H123" dT="2025-03-11T13:45:24.27" personId="{FACD4232-6E6E-4732-91D3-694142B4E09D}" id="{AFA6D4B9-EB2D-4624-96B3-1BD51D942345}">
    <text>2023-06</text>
  </threadedComment>
  <threadedComment ref="H124" dT="2025-03-11T13:45:37.79" personId="{FACD4232-6E6E-4732-91D3-694142B4E09D}" id="{9F2C74F6-79A1-4287-95A6-9301B90A13BB}">
    <text>2023-03</text>
  </threadedComment>
  <threadedComment ref="H125" dT="2025-03-11T13:45:51.19" personId="{FACD4232-6E6E-4732-91D3-694142B4E09D}" id="{45D82EE9-6AEB-4E09-886E-2CA8FD33F90D}">
    <text>2023-06 (G)  2024-03 (E&amp;S)</text>
  </threadedComment>
  <threadedComment ref="H126" dT="2025-03-11T13:46:00.50" personId="{FACD4232-6E6E-4732-91D3-694142B4E09D}" id="{A143CD13-D4EF-4E7D-AD85-8880231239E3}">
    <text>2023-12</text>
  </threadedComment>
  <threadedComment ref="H127" dT="2025-03-11T13:46:10.31" personId="{FACD4232-6E6E-4732-91D3-694142B4E09D}" id="{BDDBCCA0-C83B-40DC-90AF-C02759E20F9C}">
    <text>2024-02</text>
  </threadedComment>
  <threadedComment ref="I127" dT="2025-03-19T12:03:39.98" personId="{FACD4232-6E6E-4732-91D3-694142B4E09D}" id="{75F062F8-8FA5-4221-8E9C-890F3B8DE69C}">
    <text xml:space="preserve">New questionnaire. 
</text>
  </threadedComment>
</ThreadedComments>
</file>

<file path=xl/threadedComments/threadedComment7.xml><?xml version="1.0" encoding="utf-8"?>
<ThreadedComments xmlns="http://schemas.microsoft.com/office/spreadsheetml/2018/threadedcomments" xmlns:x="http://schemas.openxmlformats.org/spreadsheetml/2006/main">
  <threadedComment ref="F11" dT="2023-07-13T15:01:14.12" personId="{FACD4232-6E6E-4732-91D3-694142B4E09D}" id="{A6D76879-2F92-4561-8549-079995D0B509}">
    <text xml:space="preserve">The Schramm assets are not considered to be M&amp;A. Everything is reported organically. </text>
  </threadedComment>
  <threadedComment ref="H17" dT="2024-01-23T16:50:20.86" personId="{FACD4232-6E6E-4732-91D3-694142B4E09D}" id="{F339E576-62A0-438C-A75A-69FEE1618A19}">
    <text xml:space="preserve">In Q4, 2023, Epiroc increased its holding. New ownership percent not disclosed. </text>
  </threadedComment>
  <threadedComment ref="AO20" dT="2025-02-07T10:07:55.00" personId="{8A8B9147-D73F-42E2-ACA7-7BDF060ADD42}" id="{D84D0BF3-4AE2-41E3-9D70-F9749E5AE601}">
    <text>Includes IAC</text>
  </threadedComment>
</ThreadedComments>
</file>

<file path=xl/threadedComments/threadedComment8.xml><?xml version="1.0" encoding="utf-8"?>
<ThreadedComments xmlns="http://schemas.microsoft.com/office/spreadsheetml/2018/threadedcomments" xmlns:x="http://schemas.openxmlformats.org/spreadsheetml/2006/main">
  <threadedComment ref="AD48" dT="2023-01-30T12:47:05.57" personId="{FACD4232-6E6E-4732-91D3-694142B4E09D}" id="{8B3DB8A1-8BDB-4106-A3D0-15839D0CE9BE}">
    <text>Q4 2021 includes a positive revaluation effect of the shares held prior to the acquisition of the remaining shares of Mobilaris of MSEK 167.</text>
  </threadedComment>
  <threadedComment ref="AF48" dT="2023-01-30T12:48:51.18" personId="{FACD4232-6E6E-4732-91D3-694142B4E09D}" id="{63E35C28-3822-46A4-9760-90A05B6D77F5}">
    <text xml:space="preserve">Provisions related to Russia of MSEK -327 and restructuring costs related to the
relocation of manufacturing from Japan to China of MSEK -95. </text>
  </threadedComment>
  <threadedComment ref="AG48" dT="2023-01-30T12:47:54.42" personId="{FACD4232-6E6E-4732-91D3-694142B4E09D}" id="{837DF2F5-52F8-4902-8EE1-8E9F2978D1A7}">
    <text>Provisions
related to Russia of MSEK -138</text>
  </threadedComment>
  <threadedComment ref="AF49" dT="2023-01-30T12:49:33.95" personId="{FACD4232-6E6E-4732-91D3-694142B4E09D}" id="{80817C66-2008-48F5-8C02-8F683C5692CD}">
    <text>Provisions of MSEK -73 related to Russia</text>
  </threadedComment>
  <threadedComment ref="AG49" dT="2023-01-30T12:49:14.01" personId="{FACD4232-6E6E-4732-91D3-694142B4E09D}" id="{ADDD9B56-12C1-4FD5-8450-0434D159CE3B}">
    <text xml:space="preserve">Provisions related to Russia of
MSEK -12. </text>
  </threadedComment>
</ThreadedComments>
</file>

<file path=xl/threadedComments/threadedComment9.xml><?xml version="1.0" encoding="utf-8"?>
<ThreadedComments xmlns="http://schemas.microsoft.com/office/spreadsheetml/2018/threadedcomments" xmlns:x="http://schemas.openxmlformats.org/spreadsheetml/2006/main">
  <threadedComment ref="A35" dT="2025-03-14T12:45:25.65" personId="{FACD4232-6E6E-4732-91D3-694142B4E09D}" id="{C3B879DA-3217-4C6A-BF7A-6D91CE01A558}">
    <text xml:space="preserve">It covers various offering such as construction tools, road construction, and specialty rental solutions.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epiro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bin"/><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control" Target="../activeX/activeX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epirocgroup.com/en/media/corporate-press-releases/2024/20240311-epiroc-wins-large-mining-equipment-order-in-mexico" TargetMode="External"/><Relationship Id="rId2" Type="http://schemas.openxmlformats.org/officeDocument/2006/relationships/hyperlink" Target="https://www.epirocgroup.com/en/media/corporate-press-releases/2022/20220420-epiroc-wins-large-mining-equipment-order-in-democratic-republic-of-the-congo" TargetMode="External"/><Relationship Id="rId1" Type="http://schemas.openxmlformats.org/officeDocument/2006/relationships/hyperlink" Target="https://www.epirocgroup.com/en/media/corporate-press-releases/2022/20220630-epiroc-wins-large-surface-mining-equipment-order-in-australia" TargetMode="External"/><Relationship Id="rId6" Type="http://schemas.openxmlformats.org/officeDocument/2006/relationships/drawing" Target="../drawings/drawing3.xml"/><Relationship Id="rId5" Type="http://schemas.openxmlformats.org/officeDocument/2006/relationships/printerSettings" Target="../printerSettings/printerSettings14.bin"/><Relationship Id="rId4" Type="http://schemas.openxmlformats.org/officeDocument/2006/relationships/hyperlink" Target="https://www.epirocgroup.com/en/media/corporate-press-releases/2024/20240116-epiroc-wins-its-largest-order-ever-for-digital-solutions-to-strengthen-mining-safety-and-productivity-in-chil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hyperlink" Target="https://www.epirocgroup.com/en/media/corporate-press-releases/2021/20210528-epiroc-to-acquire-australian-mining-logging-company" TargetMode="External"/><Relationship Id="rId18" Type="http://schemas.openxmlformats.org/officeDocument/2006/relationships/hyperlink" Target="https://author-epiroc-prod.adobecqms.net/content/corporate/en/media/corporate-press-releases/2019/20190103_epiroc_completes_acquisition_of_canadian_exploration_tools_manufacturer.html" TargetMode="External"/><Relationship Id="rId26" Type="http://schemas.openxmlformats.org/officeDocument/2006/relationships/hyperlink" Target="https://www.epirocgroup.com/en/media/corporate-press-releases/2017/20170202-acquisition" TargetMode="External"/><Relationship Id="rId39" Type="http://schemas.openxmlformats.org/officeDocument/2006/relationships/hyperlink" Target="https://www.epirocgroup.com/en/media/corporate-press-releases/2024/20240524-epiroc-to-acquire-french-manufacturer-of-excavator-attachments" TargetMode="External"/><Relationship Id="rId21" Type="http://schemas.openxmlformats.org/officeDocument/2006/relationships/hyperlink" Target="https://www.epirocgroup.com/en/media/corporate-press-releases/2018/20180110-acquisition" TargetMode="External"/><Relationship Id="rId34" Type="http://schemas.openxmlformats.org/officeDocument/2006/relationships/hyperlink" Target="https://www.epirocgroup.com/en/media/corporate-press-releases/2022/20221209-epiroc-to-acquire-leading-provider-of-collision-avoidance-systems-for-mines" TargetMode="External"/><Relationship Id="rId42" Type="http://schemas.openxmlformats.org/officeDocument/2006/relationships/hyperlink" Target="https://www.epirocgroup.com/en/media/corporate-press-releases/2025/20250402-epiroc-acquires-remaining-shares-of-mine-connectivity-provider-radlink" TargetMode="External"/><Relationship Id="rId7" Type="http://schemas.openxmlformats.org/officeDocument/2006/relationships/hyperlink" Target="https://www.epirocgroup.com/en/media/corporate-press-releases/2021/20211103-epiroc-completes-acquisition-of-specialist-in-mining-vehicle-battery-conversions" TargetMode="External"/><Relationship Id="rId2" Type="http://schemas.openxmlformats.org/officeDocument/2006/relationships/hyperlink" Target="https://www.epirocgroup.com/en/media/corporate-press-releases/2022/20221104-epiroc-completes-acquisition-of-u-s--manufacturer-of-excavator-attachments" TargetMode="External"/><Relationship Id="rId16" Type="http://schemas.openxmlformats.org/officeDocument/2006/relationships/hyperlink" Target="https://author-epiroc-prod.adobecqms.net/content/corporate/en/media/corporate-press-releases/2019/20190402-epiroc-completes-acquisition-of-south-african-underground-rock-reinforcement-products-manufacturer-new-concept-mining.html" TargetMode="External"/><Relationship Id="rId29" Type="http://schemas.openxmlformats.org/officeDocument/2006/relationships/hyperlink" Target="https://www.atlascopcogroup.com/en/media/corporate-press-releases/2013/130403_Meyco_Acquisition" TargetMode="External"/><Relationship Id="rId1" Type="http://schemas.openxmlformats.org/officeDocument/2006/relationships/hyperlink" Target="https://www.epirocgroup.com/en/media/corporate-press-releases/2022/20221201-epiroc-completes-acquisition-of-leading-provider-of-mining-automation-solutions" TargetMode="External"/><Relationship Id="rId6" Type="http://schemas.openxmlformats.org/officeDocument/2006/relationships/hyperlink" Target="https://www.epirocgroup.com/en/media/corporate-press-releases/2022/20220601-epiroc-completes-acquisition-of-australian-mining-electrification-infrastructure-provider" TargetMode="External"/><Relationship Id="rId11" Type="http://schemas.openxmlformats.org/officeDocument/2006/relationships/hyperlink" Target="https://www.epirocgroup.com/en/media/corporate-press-releases/2021/20210331-epiroc-to-acquire-mining-electrification-solutions-provider" TargetMode="External"/><Relationship Id="rId24" Type="http://schemas.openxmlformats.org/officeDocument/2006/relationships/hyperlink" Target="https://www.epirocgroup.com/en/media/corporate-press-releases/2017/20171204-acquisition" TargetMode="External"/><Relationship Id="rId32" Type="http://schemas.openxmlformats.org/officeDocument/2006/relationships/hyperlink" Target="http://www.atlascopco.com/us/News/CorporateNews/120131_Atlas_Copco_closes_GIA_acquisition.aspx" TargetMode="External"/><Relationship Id="rId37" Type="http://schemas.openxmlformats.org/officeDocument/2006/relationships/hyperlink" Target="https://www.epirocgroup.com/en/media/corporate-press-releases/2023/20231212-epiroc-to-acquire-the-business-of-leading-rock-drilling-parts-manufacturer-in-south-africa" TargetMode="External"/><Relationship Id="rId40" Type="http://schemas.openxmlformats.org/officeDocument/2006/relationships/hyperlink" Target="https://www.epirocgroup.com/en/media/corporate-press-releases/2024/20240617-epiroc-completes-acquisition-of-canadian-ground-support-business" TargetMode="External"/><Relationship Id="rId45" Type="http://schemas.openxmlformats.org/officeDocument/2006/relationships/comments" Target="../comments7.xml"/><Relationship Id="rId5" Type="http://schemas.openxmlformats.org/officeDocument/2006/relationships/hyperlink" Target="https://www.epirocgroup.com/en/media/corporate-press-releases/2022/20220610-epiroc-to-acquire-manufacturer-of-rock-drills" TargetMode="External"/><Relationship Id="rId15" Type="http://schemas.openxmlformats.org/officeDocument/2006/relationships/hyperlink" Target="https://author-epiroc-prod.adobecqms.net/content/corporate/en/media/corporate-press-releases/2019/20190903-epiroc-completes-divestment-of-geotechnical-consumables-product-line-to-mimir-invest.html" TargetMode="External"/><Relationship Id="rId23" Type="http://schemas.openxmlformats.org/officeDocument/2006/relationships/hyperlink" Target="https://www.epirocgroup.com/en/media/corporate-press-releases/2017/20171201-acquisition" TargetMode="External"/><Relationship Id="rId28" Type="http://schemas.openxmlformats.org/officeDocument/2006/relationships/hyperlink" Target="http://www.epirocgroup.com/en/media/corporate-press-releases/2013/131017-atlas-copco-buys-us-oil-and-gas-service-business" TargetMode="External"/><Relationship Id="rId36" Type="http://schemas.openxmlformats.org/officeDocument/2006/relationships/hyperlink" Target="https://www.epirocgroup.com/en/media/corporate-press-releases/2023/20230202-epiroc-completes-acquisition-of-innovative-provider-of-ground-engaging-tools-and-digital-solutions" TargetMode="External"/><Relationship Id="rId10" Type="http://schemas.openxmlformats.org/officeDocument/2006/relationships/hyperlink" Target="https://www.epirocgroup.com/en/media/corporate-press-releases/2021/20210707-epiroc-acquires-chilean-provider-of-intelligent-mining-solutions" TargetMode="External"/><Relationship Id="rId19" Type="http://schemas.openxmlformats.org/officeDocument/2006/relationships/hyperlink" Target="https://www.epirocgroup.com/en/media/corporate-press-releases/2018/20181102-epiroc-acquires-mining-equipment-distributor-in-estonia" TargetMode="External"/><Relationship Id="rId31" Type="http://schemas.openxmlformats.org/officeDocument/2006/relationships/hyperlink" Target="http://www.epirocgroup.com/en/media/corporate-press-releases/2012/120925-atlas-copco-acquires-us-manufacturer-of-drill-bits" TargetMode="External"/><Relationship Id="rId44" Type="http://schemas.openxmlformats.org/officeDocument/2006/relationships/vmlDrawing" Target="../drawings/vmlDrawing8.vml"/><Relationship Id="rId4" Type="http://schemas.openxmlformats.org/officeDocument/2006/relationships/hyperlink" Target="https://www.epirocgroup.com/en/media/corporate-press-releases/2022/20221014-epiroc-completes-acquisition-of-australian-provider-of-digital-core-imaging-solutions-for-mining-companies" TargetMode="External"/><Relationship Id="rId9" Type="http://schemas.openxmlformats.org/officeDocument/2006/relationships/hyperlink" Target="https://www.epirocgroup.com/en/media/corporate-press-releases/2021/20210427-epiroc-to-acquire-south-korean-hydraulic-breaker-manufacturer" TargetMode="External"/><Relationship Id="rId14" Type="http://schemas.openxmlformats.org/officeDocument/2006/relationships/hyperlink" Target="https://www.epirocgroup.com/en/media/corporate-press-releases/2020/20201222-epiroc-to-acquire-software-company-for-increased-mine-productivity" TargetMode="External"/><Relationship Id="rId22" Type="http://schemas.openxmlformats.org/officeDocument/2006/relationships/hyperlink" Target="https://www.epirocgroup.com/en/media/corporate-press-releases/2017/20171206-acquisition" TargetMode="External"/><Relationship Id="rId27" Type="http://schemas.openxmlformats.org/officeDocument/2006/relationships/hyperlink" Target="http://www.epirocgroup.com/en/media/corporate-press-releases/2014/140203-atlas-copco-completes-acquisition-of-geawelltech" TargetMode="External"/><Relationship Id="rId30" Type="http://schemas.openxmlformats.org/officeDocument/2006/relationships/hyperlink" Target="http://www.epirocgroup.com/en/media/corporate-press-releases/2013/130305-atlas-copco-buys-chinese-rock-drilling-tools-business" TargetMode="External"/><Relationship Id="rId35" Type="http://schemas.openxmlformats.org/officeDocument/2006/relationships/hyperlink" Target="https://www.epirocgroup.com/en/media/corporate-press-releases/2022/20220825-epiroc-signs-agreement-to-acquire-south-african-mining-equipment-manufacturer" TargetMode="External"/><Relationship Id="rId43" Type="http://schemas.openxmlformats.org/officeDocument/2006/relationships/printerSettings" Target="../printerSettings/printerSettings16.bin"/><Relationship Id="rId8" Type="http://schemas.openxmlformats.org/officeDocument/2006/relationships/hyperlink" Target="https://www.epirocgroup.com/en/media/corporate-press-releases/2021/20211102-epiroc-acquires-remaining-share-of-mobilaris-mce" TargetMode="External"/><Relationship Id="rId3" Type="http://schemas.openxmlformats.org/officeDocument/2006/relationships/hyperlink" Target="https://www.epirocgroup.com/en/media/corporate-press-releases/2022/20221101-epiroc-completes-acquisition-of-majority-ownership-in-australian-mine-connectivity-provider" TargetMode="External"/><Relationship Id="rId12" Type="http://schemas.openxmlformats.org/officeDocument/2006/relationships/hyperlink" Target="https://www.epirocgroup.com/en/media/corporate-press-releases/2021/20210607-epiroc-acquires-canadian-mine-connectivity-provider" TargetMode="External"/><Relationship Id="rId17" Type="http://schemas.openxmlformats.org/officeDocument/2006/relationships/hyperlink" Target="https://author-epiroc-prod.adobecqms.net/content/corporate/en/media/corporate-press-releases/2019/20190201-epiroc-acquires-us-water-well-drilling-equipment-distributor.html" TargetMode="External"/><Relationship Id="rId25" Type="http://schemas.openxmlformats.org/officeDocument/2006/relationships/hyperlink" Target="https://www.epirocgroup.com/en/media/corporate-press-releases/2017/170704-atlas-copco-completes-acquisition-of-swedish-mining-intelligence-business" TargetMode="External"/><Relationship Id="rId33" Type="http://schemas.openxmlformats.org/officeDocument/2006/relationships/hyperlink" Target="http://www.atlascopcogroup.com/content/corporate/en/media/corporate-press-releases/2012/120112_Atlas_Copco_acquires_Perfora.html" TargetMode="External"/><Relationship Id="rId38" Type="http://schemas.openxmlformats.org/officeDocument/2006/relationships/hyperlink" Target="https://www.epirocgroup.com/en/media/corporate-press-releases/2023/20231215-epiroc-to-acquire-stanley-infrastructure-from-stanley-black---decker-to-strengthen-infrastructure-and-construction-business" TargetMode="External"/><Relationship Id="rId46" Type="http://schemas.microsoft.com/office/2017/10/relationships/threadedComment" Target="../threadedComments/threadedComment7.xml"/><Relationship Id="rId20" Type="http://schemas.openxmlformats.org/officeDocument/2006/relationships/hyperlink" Target="https://www.epirocgroup.com/en/media/corporate-press-releases/2018/20181030-epiroc-invests-in-autonomous-mining-solutions-business" TargetMode="External"/><Relationship Id="rId41" Type="http://schemas.openxmlformats.org/officeDocument/2006/relationships/hyperlink" Target="https://www.epirocgroup.com/en/media/corporate-press-releases/2024/20240703-epiroc-completes-acquisition-of-remaining-share-of-autonomous-solutions-provider-asi-mining"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microsoft.com/office/2017/10/relationships/threadedComment" Target="../threadedComments/threadedComment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4"/>
    <pageSetUpPr fitToPage="1"/>
  </sheetPr>
  <dimension ref="A1:I26"/>
  <sheetViews>
    <sheetView tabSelected="1" zoomScale="90" zoomScaleNormal="90" workbookViewId="0">
      <selection activeCell="E4" sqref="E4"/>
    </sheetView>
  </sheetViews>
  <sheetFormatPr defaultColWidth="9" defaultRowHeight="14"/>
  <cols>
    <col min="1" max="1" width="3.58203125" style="131" customWidth="1"/>
    <col min="2" max="2" width="5.58203125" style="131" customWidth="1"/>
    <col min="3" max="3" width="2.58203125" style="131" customWidth="1"/>
    <col min="4" max="4" width="14.08203125" style="131" customWidth="1"/>
    <col min="5" max="5" width="9" style="131"/>
    <col min="6" max="6" width="3" style="131" customWidth="1"/>
    <col min="7" max="7" width="15.08203125" style="131" customWidth="1"/>
    <col min="8" max="8" width="67.5" style="131" customWidth="1"/>
    <col min="9" max="9" width="2.58203125" style="131" customWidth="1"/>
    <col min="10" max="16384" width="9" style="131"/>
  </cols>
  <sheetData>
    <row r="1" spans="1:9" ht="15.5">
      <c r="A1" s="59"/>
      <c r="B1" s="59"/>
      <c r="C1" s="49"/>
      <c r="D1" s="49"/>
      <c r="E1" s="49"/>
      <c r="F1" s="49"/>
      <c r="G1" s="49"/>
      <c r="H1" s="49"/>
      <c r="I1" s="49"/>
    </row>
    <row r="4" spans="1:9" ht="15" customHeight="1">
      <c r="C4" s="132"/>
      <c r="D4" s="132"/>
      <c r="E4" s="132"/>
      <c r="F4" s="132"/>
      <c r="G4" s="132"/>
      <c r="H4" s="132"/>
    </row>
    <row r="5" spans="1:9" ht="15" customHeight="1">
      <c r="C5" s="132"/>
      <c r="D5" s="192" t="s">
        <v>238</v>
      </c>
      <c r="E5" s="132"/>
      <c r="F5" s="132"/>
      <c r="G5" s="436" t="s">
        <v>194</v>
      </c>
      <c r="H5" s="339" t="s">
        <v>401</v>
      </c>
      <c r="I5" s="48"/>
    </row>
    <row r="6" spans="1:9" ht="15" customHeight="1">
      <c r="C6" s="132"/>
      <c r="D6" s="132"/>
      <c r="E6" s="132"/>
      <c r="F6" s="339"/>
      <c r="G6" s="437" t="s">
        <v>188</v>
      </c>
      <c r="H6" s="339" t="s">
        <v>1301</v>
      </c>
      <c r="I6" s="48"/>
    </row>
    <row r="7" spans="1:9" ht="15" customHeight="1">
      <c r="C7" s="132"/>
      <c r="D7" s="1082" t="s">
        <v>239</v>
      </c>
      <c r="E7" s="1082"/>
      <c r="F7" s="339"/>
      <c r="G7" s="437" t="s">
        <v>280</v>
      </c>
      <c r="H7" s="339" t="str">
        <f>H6</f>
        <v>Q2 2025 - July 18, 2025</v>
      </c>
      <c r="I7" s="48"/>
    </row>
    <row r="8" spans="1:9" ht="15" customHeight="1">
      <c r="C8" s="132"/>
      <c r="D8" s="1082"/>
      <c r="E8" s="1082"/>
      <c r="F8" s="339"/>
      <c r="G8" s="437" t="s">
        <v>189</v>
      </c>
      <c r="H8" s="339" t="str">
        <f t="shared" ref="H8:H16" si="0">H7</f>
        <v>Q2 2025 - July 18, 2025</v>
      </c>
      <c r="I8" s="48"/>
    </row>
    <row r="9" spans="1:9" ht="15" customHeight="1">
      <c r="C9" s="132"/>
      <c r="D9" s="1082"/>
      <c r="E9" s="1082"/>
      <c r="F9" s="339"/>
      <c r="G9" s="437" t="s">
        <v>190</v>
      </c>
      <c r="H9" s="339" t="str">
        <f t="shared" si="0"/>
        <v>Q2 2025 - July 18, 2025</v>
      </c>
      <c r="I9" s="48"/>
    </row>
    <row r="10" spans="1:9" ht="15" customHeight="1">
      <c r="C10" s="132"/>
      <c r="D10" s="1082"/>
      <c r="E10" s="1082"/>
      <c r="F10" s="339"/>
      <c r="G10" s="437" t="s">
        <v>191</v>
      </c>
      <c r="H10" s="339" t="str">
        <f t="shared" si="0"/>
        <v>Q2 2025 - July 18, 2025</v>
      </c>
      <c r="I10" s="48"/>
    </row>
    <row r="11" spans="1:9" ht="15" customHeight="1">
      <c r="C11" s="132"/>
      <c r="D11" s="1082"/>
      <c r="E11" s="1082"/>
      <c r="F11" s="339"/>
      <c r="G11" s="437" t="s">
        <v>192</v>
      </c>
      <c r="H11" s="339" t="str">
        <f t="shared" si="0"/>
        <v>Q2 2025 - July 18, 2025</v>
      </c>
      <c r="I11" s="48"/>
    </row>
    <row r="12" spans="1:9" ht="15" customHeight="1">
      <c r="C12" s="132"/>
      <c r="D12" s="1082"/>
      <c r="E12" s="1082"/>
      <c r="F12" s="339"/>
      <c r="G12" s="437" t="s">
        <v>196</v>
      </c>
      <c r="H12" s="339" t="str">
        <f t="shared" si="0"/>
        <v>Q2 2025 - July 18, 2025</v>
      </c>
      <c r="I12" s="48"/>
    </row>
    <row r="13" spans="1:9" ht="15" customHeight="1">
      <c r="C13" s="132"/>
      <c r="D13" s="1082"/>
      <c r="E13" s="1082"/>
      <c r="F13" s="339"/>
      <c r="G13" s="437" t="s">
        <v>957</v>
      </c>
      <c r="H13" s="339" t="str">
        <f t="shared" si="0"/>
        <v>Q2 2025 - July 18, 2025</v>
      </c>
      <c r="I13" s="48"/>
    </row>
    <row r="14" spans="1:9" ht="15" customHeight="1">
      <c r="C14" s="132"/>
      <c r="D14" s="1082"/>
      <c r="E14" s="1082"/>
      <c r="F14" s="339"/>
      <c r="G14" s="437" t="s">
        <v>197</v>
      </c>
      <c r="H14" s="339" t="str">
        <f t="shared" si="0"/>
        <v>Q2 2025 - July 18, 2025</v>
      </c>
      <c r="I14" s="48"/>
    </row>
    <row r="15" spans="1:9" ht="15" customHeight="1">
      <c r="C15" s="132"/>
      <c r="D15" s="339" t="s">
        <v>240</v>
      </c>
      <c r="E15" s="438"/>
      <c r="F15" s="339"/>
      <c r="G15" s="437" t="s">
        <v>193</v>
      </c>
      <c r="H15" s="339" t="str">
        <f t="shared" si="0"/>
        <v>Q2 2025 - July 18, 2025</v>
      </c>
      <c r="I15" s="48"/>
    </row>
    <row r="16" spans="1:9" ht="15" customHeight="1">
      <c r="C16" s="132"/>
      <c r="D16" s="339" t="s">
        <v>1114</v>
      </c>
      <c r="E16" s="438"/>
      <c r="F16" s="339"/>
      <c r="G16" s="437" t="s">
        <v>321</v>
      </c>
      <c r="H16" s="339" t="str">
        <f t="shared" si="0"/>
        <v>Q2 2025 - July 18, 2025</v>
      </c>
      <c r="I16" s="48"/>
    </row>
    <row r="17" spans="3:9" ht="15" customHeight="1">
      <c r="C17" s="132"/>
      <c r="D17" s="339" t="s">
        <v>241</v>
      </c>
      <c r="E17" s="438"/>
      <c r="F17" s="339"/>
      <c r="G17" s="437" t="s">
        <v>243</v>
      </c>
      <c r="H17" s="443" t="s">
        <v>1083</v>
      </c>
      <c r="I17" s="48"/>
    </row>
    <row r="18" spans="3:9" ht="15" customHeight="1">
      <c r="C18" s="132"/>
      <c r="D18" s="339"/>
      <c r="E18" s="438"/>
      <c r="F18" s="339"/>
      <c r="G18" s="437" t="s">
        <v>255</v>
      </c>
      <c r="H18" s="443" t="s">
        <v>1083</v>
      </c>
      <c r="I18" s="48"/>
    </row>
    <row r="19" spans="3:9" ht="15" customHeight="1">
      <c r="C19" s="132"/>
      <c r="D19" s="339" t="s">
        <v>242</v>
      </c>
      <c r="E19" s="438"/>
      <c r="F19" s="339"/>
      <c r="G19" s="437" t="s">
        <v>722</v>
      </c>
      <c r="H19" s="339" t="s">
        <v>1302</v>
      </c>
      <c r="I19" s="48"/>
    </row>
    <row r="20" spans="3:9" ht="15" customHeight="1">
      <c r="C20" s="132"/>
      <c r="D20" s="907" t="s">
        <v>1115</v>
      </c>
      <c r="E20" s="438"/>
      <c r="F20" s="132"/>
      <c r="G20" s="437" t="s">
        <v>723</v>
      </c>
      <c r="H20" s="339" t="s">
        <v>1302</v>
      </c>
      <c r="I20" s="48"/>
    </row>
    <row r="21" spans="3:9" ht="15" customHeight="1">
      <c r="C21" s="132"/>
      <c r="D21" s="339"/>
      <c r="E21" s="438"/>
      <c r="F21" s="132"/>
      <c r="G21" s="602" t="s">
        <v>724</v>
      </c>
      <c r="H21" s="894" t="s">
        <v>1113</v>
      </c>
      <c r="I21" s="48"/>
    </row>
    <row r="22" spans="3:9" ht="15" customHeight="1">
      <c r="C22" s="132"/>
      <c r="D22" s="339"/>
      <c r="E22" s="438"/>
      <c r="F22" s="132"/>
      <c r="G22" s="602" t="s">
        <v>1109</v>
      </c>
      <c r="H22" s="894" t="s">
        <v>1112</v>
      </c>
      <c r="I22" s="48"/>
    </row>
    <row r="23" spans="3:9" ht="15" customHeight="1">
      <c r="C23" s="132"/>
      <c r="D23" s="132"/>
      <c r="E23" s="394"/>
      <c r="F23" s="394"/>
      <c r="G23" s="394"/>
      <c r="H23" s="443"/>
      <c r="I23" s="48"/>
    </row>
    <row r="24" spans="3:9" ht="15" customHeight="1"/>
    <row r="25" spans="3:9" ht="15" customHeight="1"/>
    <row r="26" spans="3:9" ht="15" customHeight="1"/>
  </sheetData>
  <mergeCells count="1">
    <mergeCell ref="D7:E14"/>
  </mergeCells>
  <phoneticPr fontId="82" type="noConversion"/>
  <hyperlinks>
    <hyperlink ref="G6" location="Definitions!A1" display="Definitions" xr:uid="{00000000-0004-0000-0000-000000000000}"/>
    <hyperlink ref="G7" location="'APMs calculated'!Print_Area" display="APMs calculated " xr:uid="{00000000-0004-0000-0000-000001000000}"/>
    <hyperlink ref="G8" location="'Income statement'!A1" display="Income Statement " xr:uid="{00000000-0004-0000-0000-000002000000}"/>
    <hyperlink ref="G9" location="Segments!A1" display="Segments " xr:uid="{00000000-0004-0000-0000-000003000000}"/>
    <hyperlink ref="G10" location="Geography!A1" display="Geography " xr:uid="{00000000-0004-0000-0000-000004000000}"/>
    <hyperlink ref="G11" location="'Balance Sheet'!A1" display="Balance Sheet" xr:uid="{00000000-0004-0000-0000-000005000000}"/>
    <hyperlink ref="G15" location="'Cash flow'!A1" display="Cash Flow " xr:uid="{00000000-0004-0000-0000-000006000000}"/>
    <hyperlink ref="G12" location="'Sales bridges'!A1" display="Sales bridges" xr:uid="{00000000-0004-0000-0000-000008000000}"/>
    <hyperlink ref="G14" location="'Profit bridges'!A1" display="Profit bridges" xr:uid="{00000000-0004-0000-0000-000009000000}"/>
    <hyperlink ref="G17" location="ESG!A1" display="ESG " xr:uid="{00000000-0004-0000-0000-00000A000000}"/>
    <hyperlink ref="G18" location="OIB!A1" display="OIB " xr:uid="{00000000-0004-0000-0000-00000C000000}"/>
    <hyperlink ref="G19" location="'Large orders'!A1" display="Large Orders " xr:uid="{60F358E9-737D-4FF2-8680-67AE31769E83}"/>
    <hyperlink ref="G20" location="'M&amp;A'!A1" display="M&amp;A " xr:uid="{876A1389-D3AA-45B8-805A-1C97CF2490FB}"/>
    <hyperlink ref="G21" location="'Segments (Old)'!A1" display="Segments (OLD) " xr:uid="{C84D487D-3640-4259-BD40-E3904519F3EB}"/>
    <hyperlink ref="G13" location="'Adjusted bridges'!A1" display="Adjusted bridges " xr:uid="{36DB0E41-F58B-48CC-A117-C38ACFE6562E}"/>
    <hyperlink ref="G16" location="'Key figures'!Print_Area" display="Key figures" xr:uid="{E466CCF0-9194-4789-A505-A0113BC51C4B}"/>
    <hyperlink ref="G22" location="'Atlas Copco (Old) '!A1" display="Atlas Copco (Old) " xr:uid="{44364900-A2C4-4E42-9B30-E5CA6AD4865F}"/>
    <hyperlink ref="D20" r:id="rId1" xr:uid="{D807CB8A-5573-45FA-B361-17630F9F4D23}"/>
  </hyperlinks>
  <pageMargins left="0.7" right="0.7" top="0.75" bottom="0.75" header="0.3" footer="0.3"/>
  <pageSetup paperSize="9" scale="6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H39"/>
  <sheetViews>
    <sheetView zoomScale="90" zoomScaleNormal="90" workbookViewId="0">
      <pane ySplit="6" topLeftCell="A7" activePane="bottomLeft" state="frozen"/>
      <selection activeCell="W104" sqref="W104"/>
      <selection pane="bottomLeft" activeCell="A2" sqref="A2"/>
    </sheetView>
  </sheetViews>
  <sheetFormatPr defaultColWidth="9" defaultRowHeight="11.5"/>
  <cols>
    <col min="1" max="1" width="31.58203125" style="48" bestFit="1" customWidth="1"/>
    <col min="2" max="2" width="42.08203125" style="48" customWidth="1"/>
    <col min="3" max="3" width="48.08203125" style="48" bestFit="1" customWidth="1"/>
    <col min="4" max="16384" width="9" style="48"/>
  </cols>
  <sheetData>
    <row r="1" spans="1:8" s="41" customFormat="1" ht="16" thickBot="1">
      <c r="A1" s="59" t="s">
        <v>184</v>
      </c>
      <c r="B1" s="104"/>
      <c r="C1" s="105"/>
      <c r="D1" s="316"/>
      <c r="E1" s="105"/>
      <c r="F1" s="105"/>
      <c r="G1" s="105"/>
      <c r="H1" s="105"/>
    </row>
    <row r="2" spans="1:8" ht="12.5" thickTop="1" thickBot="1">
      <c r="A2" s="823" t="s">
        <v>198</v>
      </c>
    </row>
    <row r="3" spans="1:8" ht="53.9" customHeight="1" thickTop="1">
      <c r="A3" s="1083" t="s">
        <v>448</v>
      </c>
      <c r="B3" s="1083"/>
      <c r="C3" s="1083"/>
    </row>
    <row r="4" spans="1:8" ht="53.9" customHeight="1">
      <c r="A4" s="1083" t="s">
        <v>1060</v>
      </c>
      <c r="B4" s="1083"/>
      <c r="C4" s="1083"/>
    </row>
    <row r="5" spans="1:8" ht="53.9" customHeight="1">
      <c r="A5" s="1084" t="s">
        <v>1061</v>
      </c>
      <c r="B5" s="1083"/>
      <c r="C5" s="1083"/>
    </row>
    <row r="6" spans="1:8" ht="21.65" customHeight="1">
      <c r="A6" s="53" t="s">
        <v>282</v>
      </c>
      <c r="B6" s="53" t="s">
        <v>122</v>
      </c>
      <c r="C6" s="53" t="s">
        <v>123</v>
      </c>
    </row>
    <row r="7" spans="1:8" ht="21.65" customHeight="1">
      <c r="A7" s="442" t="s">
        <v>177</v>
      </c>
      <c r="B7" s="442" t="s">
        <v>408</v>
      </c>
      <c r="C7" s="442" t="s">
        <v>416</v>
      </c>
    </row>
    <row r="8" spans="1:8" ht="21.65" customHeight="1">
      <c r="A8" s="442" t="s">
        <v>263</v>
      </c>
      <c r="B8" s="442" t="s">
        <v>417</v>
      </c>
      <c r="C8" s="442" t="s">
        <v>857</v>
      </c>
    </row>
    <row r="9" spans="1:8">
      <c r="A9" s="442" t="s">
        <v>409</v>
      </c>
      <c r="B9" s="442" t="s">
        <v>410</v>
      </c>
      <c r="C9" s="442" t="s">
        <v>411</v>
      </c>
    </row>
    <row r="10" spans="1:8" ht="23">
      <c r="A10" s="442" t="s">
        <v>1038</v>
      </c>
      <c r="B10" s="442" t="s">
        <v>1046</v>
      </c>
      <c r="C10" s="442" t="s">
        <v>1045</v>
      </c>
    </row>
    <row r="11" spans="1:8" ht="36.5">
      <c r="A11" s="442" t="s">
        <v>283</v>
      </c>
      <c r="B11" s="442" t="s">
        <v>442</v>
      </c>
      <c r="C11" s="442" t="s">
        <v>858</v>
      </c>
    </row>
    <row r="12" spans="1:8" ht="23">
      <c r="A12" s="442" t="s">
        <v>98</v>
      </c>
      <c r="B12" s="442" t="s">
        <v>443</v>
      </c>
      <c r="C12" s="442" t="s">
        <v>859</v>
      </c>
    </row>
    <row r="13" spans="1:8" ht="41.9" customHeight="1">
      <c r="A13" s="442" t="s">
        <v>127</v>
      </c>
      <c r="B13" s="442" t="s">
        <v>444</v>
      </c>
      <c r="C13" s="442" t="s">
        <v>860</v>
      </c>
    </row>
    <row r="14" spans="1:8" ht="41.9" customHeight="1">
      <c r="A14" s="442" t="s">
        <v>934</v>
      </c>
      <c r="B14" s="442" t="s">
        <v>967</v>
      </c>
      <c r="C14" s="442" t="s">
        <v>412</v>
      </c>
    </row>
    <row r="15" spans="1:8" ht="34.5">
      <c r="A15" s="442" t="s">
        <v>124</v>
      </c>
      <c r="B15" s="442" t="s">
        <v>962</v>
      </c>
      <c r="C15" s="442" t="s">
        <v>412</v>
      </c>
    </row>
    <row r="16" spans="1:8" ht="39.75" customHeight="1">
      <c r="A16" s="442" t="s">
        <v>418</v>
      </c>
      <c r="B16" s="442" t="s">
        <v>419</v>
      </c>
      <c r="C16" s="442" t="s">
        <v>412</v>
      </c>
    </row>
    <row r="17" spans="1:6" ht="23">
      <c r="A17" s="442" t="s">
        <v>129</v>
      </c>
      <c r="B17" s="442" t="s">
        <v>413</v>
      </c>
      <c r="C17" s="442" t="s">
        <v>420</v>
      </c>
    </row>
    <row r="18" spans="1:6" ht="23">
      <c r="A18" s="442" t="s">
        <v>414</v>
      </c>
      <c r="B18" s="442" t="s">
        <v>415</v>
      </c>
      <c r="C18" s="442" t="s">
        <v>861</v>
      </c>
      <c r="F18" s="395"/>
    </row>
    <row r="19" spans="1:6" ht="34.5">
      <c r="A19" s="442" t="s">
        <v>208</v>
      </c>
      <c r="B19" s="442" t="s">
        <v>421</v>
      </c>
      <c r="C19" s="442" t="s">
        <v>862</v>
      </c>
    </row>
    <row r="20" spans="1:6">
      <c r="A20" s="442" t="s">
        <v>633</v>
      </c>
      <c r="B20" s="442" t="s">
        <v>970</v>
      </c>
      <c r="C20" s="442" t="s">
        <v>971</v>
      </c>
    </row>
    <row r="21" spans="1:6" ht="34.5">
      <c r="A21" s="442" t="s">
        <v>90</v>
      </c>
      <c r="B21" s="442" t="s">
        <v>422</v>
      </c>
      <c r="C21" s="442" t="s">
        <v>423</v>
      </c>
    </row>
    <row r="22" spans="1:6" ht="13.5">
      <c r="A22" s="442" t="s">
        <v>99</v>
      </c>
      <c r="B22" s="442" t="s">
        <v>445</v>
      </c>
      <c r="C22" s="442" t="s">
        <v>424</v>
      </c>
    </row>
    <row r="23" spans="1:6" ht="23">
      <c r="A23" s="442" t="s">
        <v>128</v>
      </c>
      <c r="B23" s="442" t="s">
        <v>425</v>
      </c>
      <c r="C23" s="442" t="s">
        <v>426</v>
      </c>
    </row>
    <row r="24" spans="1:6" ht="23">
      <c r="A24" s="442" t="s">
        <v>126</v>
      </c>
      <c r="B24" s="442" t="s">
        <v>427</v>
      </c>
      <c r="C24" s="442" t="s">
        <v>863</v>
      </c>
    </row>
    <row r="25" spans="1:6" ht="34.5">
      <c r="A25" s="442" t="s">
        <v>958</v>
      </c>
      <c r="B25" s="442" t="s">
        <v>968</v>
      </c>
      <c r="C25" s="442" t="s">
        <v>969</v>
      </c>
    </row>
    <row r="26" spans="1:6" ht="34.5">
      <c r="A26" s="442" t="s">
        <v>118</v>
      </c>
      <c r="B26" s="442" t="s">
        <v>428</v>
      </c>
      <c r="C26" s="442" t="s">
        <v>864</v>
      </c>
    </row>
    <row r="27" spans="1:6" ht="23">
      <c r="A27" s="442" t="s">
        <v>131</v>
      </c>
      <c r="B27" s="442" t="s">
        <v>429</v>
      </c>
      <c r="C27" s="442" t="s">
        <v>865</v>
      </c>
    </row>
    <row r="28" spans="1:6" ht="23">
      <c r="A28" s="442" t="s">
        <v>430</v>
      </c>
      <c r="B28" s="442" t="s">
        <v>431</v>
      </c>
      <c r="C28" s="442" t="s">
        <v>866</v>
      </c>
    </row>
    <row r="29" spans="1:6" ht="34.5">
      <c r="A29" s="442" t="s">
        <v>432</v>
      </c>
      <c r="B29" s="442" t="s">
        <v>433</v>
      </c>
      <c r="C29" s="442" t="s">
        <v>867</v>
      </c>
    </row>
    <row r="30" spans="1:6" ht="34.5">
      <c r="A30" s="442" t="s">
        <v>434</v>
      </c>
      <c r="B30" s="442" t="s">
        <v>435</v>
      </c>
      <c r="C30" s="442" t="s">
        <v>868</v>
      </c>
    </row>
    <row r="31" spans="1:6" ht="23">
      <c r="A31" s="442" t="s">
        <v>436</v>
      </c>
      <c r="B31" s="442" t="s">
        <v>437</v>
      </c>
      <c r="C31" s="442" t="s">
        <v>869</v>
      </c>
    </row>
    <row r="32" spans="1:6">
      <c r="A32" s="442" t="s">
        <v>87</v>
      </c>
      <c r="B32" s="442" t="s">
        <v>438</v>
      </c>
      <c r="C32" s="442" t="s">
        <v>439</v>
      </c>
    </row>
    <row r="33" spans="1:3" ht="23">
      <c r="A33" s="442" t="s">
        <v>125</v>
      </c>
      <c r="B33" s="442" t="s">
        <v>446</v>
      </c>
      <c r="C33" s="442" t="s">
        <v>870</v>
      </c>
    </row>
    <row r="34" spans="1:3" ht="27">
      <c r="A34" s="442" t="s">
        <v>130</v>
      </c>
      <c r="B34" s="442" t="s">
        <v>447</v>
      </c>
      <c r="C34" s="442" t="s">
        <v>871</v>
      </c>
    </row>
    <row r="35" spans="1:3">
      <c r="A35" s="396"/>
    </row>
    <row r="36" spans="1:3" ht="14">
      <c r="A36" s="441" t="s">
        <v>440</v>
      </c>
      <c r="B36"/>
    </row>
    <row r="37" spans="1:3" ht="14">
      <c r="A37" s="441" t="s">
        <v>441</v>
      </c>
      <c r="B37"/>
    </row>
    <row r="38" spans="1:3">
      <c r="A38" s="396"/>
    </row>
    <row r="39" spans="1:3">
      <c r="A39" s="396"/>
    </row>
  </sheetData>
  <sortState xmlns:xlrd2="http://schemas.microsoft.com/office/spreadsheetml/2017/richdata2" ref="A7:C34">
    <sortCondition ref="A7:A34"/>
  </sortState>
  <mergeCells count="3">
    <mergeCell ref="A3:C3"/>
    <mergeCell ref="A4:C4"/>
    <mergeCell ref="A5:C5"/>
  </mergeCells>
  <hyperlinks>
    <hyperlink ref="A2" location="'START PAGE'!A1" display="Back to start page" xr:uid="{00000000-0004-0000-0100-000016000000}"/>
  </hyperlink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EL444"/>
  <sheetViews>
    <sheetView zoomScaleNormal="100" workbookViewId="0">
      <pane xSplit="1" ySplit="3" topLeftCell="B4" activePane="bottomRight" state="frozen"/>
      <selection activeCell="O14" sqref="O13:O14"/>
      <selection pane="topRight" activeCell="O14" sqref="O13:O14"/>
      <selection pane="bottomLeft" activeCell="O14" sqref="O13:O14"/>
      <selection pane="bottomRight" activeCell="B2" sqref="B2"/>
    </sheetView>
  </sheetViews>
  <sheetFormatPr defaultColWidth="9" defaultRowHeight="10"/>
  <cols>
    <col min="1" max="1" width="49.58203125" style="41" customWidth="1"/>
    <col min="2" max="3" width="7.58203125" style="41" bestFit="1" customWidth="1"/>
    <col min="4" max="4" width="8.58203125" style="22" bestFit="1" customWidth="1"/>
    <col min="5" max="11" width="7.58203125" style="41" bestFit="1" customWidth="1"/>
    <col min="12" max="12" width="9.08203125" style="41" customWidth="1"/>
    <col min="13" max="13" width="8.58203125" style="41" customWidth="1"/>
    <col min="14" max="20" width="6.58203125" style="41" customWidth="1"/>
    <col min="21" max="31" width="5.08203125" style="41" customWidth="1"/>
    <col min="32" max="32" width="5" style="41" bestFit="1" customWidth="1"/>
    <col min="33" max="36" width="5.58203125" style="41" customWidth="1"/>
    <col min="37" max="37" width="6.5" style="41" bestFit="1" customWidth="1"/>
    <col min="38" max="40" width="5.58203125" style="41" customWidth="1"/>
    <col min="41" max="41" width="6.5" style="41" bestFit="1" customWidth="1"/>
    <col min="42" max="42" width="5.58203125" style="41" customWidth="1"/>
    <col min="43" max="142" width="9" style="107"/>
    <col min="143" max="16384" width="9" style="41"/>
  </cols>
  <sheetData>
    <row r="1" spans="1:43" ht="16" thickBot="1">
      <c r="A1" s="59" t="s">
        <v>281</v>
      </c>
      <c r="B1" s="104" t="s">
        <v>222</v>
      </c>
      <c r="C1" s="105"/>
      <c r="D1" s="316"/>
      <c r="E1" s="105"/>
      <c r="F1" s="105"/>
      <c r="G1" s="105"/>
      <c r="H1" s="105"/>
      <c r="I1" s="105"/>
      <c r="J1" s="105"/>
      <c r="K1" s="105"/>
      <c r="L1" s="606"/>
      <c r="M1" s="104" t="s">
        <v>221</v>
      </c>
      <c r="N1" s="105"/>
      <c r="O1" s="105"/>
      <c r="P1" s="193"/>
      <c r="Q1" s="105"/>
      <c r="R1" s="105"/>
      <c r="S1" s="105"/>
      <c r="T1" s="193"/>
      <c r="U1" s="105"/>
      <c r="V1" s="105"/>
      <c r="W1" s="105"/>
      <c r="X1" s="193"/>
      <c r="Y1" s="105"/>
      <c r="Z1" s="105"/>
      <c r="AA1" s="105"/>
      <c r="AB1" s="193"/>
      <c r="AC1" s="105"/>
      <c r="AD1" s="105"/>
      <c r="AE1" s="105"/>
      <c r="AF1" s="193"/>
      <c r="AG1" s="105"/>
      <c r="AH1" s="105"/>
      <c r="AI1" s="105"/>
      <c r="AJ1" s="193"/>
      <c r="AK1" s="105"/>
      <c r="AL1" s="105"/>
      <c r="AM1" s="105"/>
      <c r="AN1" s="193"/>
      <c r="AO1" s="105"/>
      <c r="AP1" s="105"/>
    </row>
    <row r="2" spans="1:43" ht="11.5" thickTop="1" thickBot="1">
      <c r="A2" s="823" t="s">
        <v>198</v>
      </c>
      <c r="B2" s="106"/>
      <c r="C2" s="107"/>
      <c r="D2" s="317"/>
      <c r="E2" s="107"/>
      <c r="F2" s="107"/>
      <c r="G2" s="107"/>
      <c r="H2" s="107"/>
      <c r="I2" s="107"/>
      <c r="J2" s="107"/>
      <c r="K2" s="107"/>
      <c r="L2" s="107"/>
      <c r="M2" s="107"/>
      <c r="N2" s="107"/>
      <c r="O2" s="107"/>
      <c r="P2" s="194"/>
      <c r="Q2" s="107"/>
      <c r="R2" s="107"/>
      <c r="S2" s="107"/>
      <c r="T2" s="194"/>
      <c r="U2" s="107"/>
      <c r="V2" s="107"/>
      <c r="W2" s="107"/>
      <c r="X2" s="194"/>
      <c r="Y2" s="107"/>
      <c r="Z2" s="107"/>
      <c r="AA2" s="107"/>
      <c r="AB2" s="194"/>
      <c r="AC2" s="107"/>
      <c r="AD2" s="107"/>
      <c r="AE2" s="107"/>
      <c r="AF2" s="194"/>
      <c r="AG2" s="107"/>
      <c r="AH2" s="107"/>
      <c r="AI2" s="107"/>
      <c r="AJ2" s="194"/>
      <c r="AK2" s="107"/>
      <c r="AL2" s="107"/>
      <c r="AM2" s="107"/>
      <c r="AN2" s="194"/>
      <c r="AO2" s="107"/>
      <c r="AP2" s="107"/>
    </row>
    <row r="3" spans="1:43" ht="13" thickTop="1">
      <c r="A3" s="108" t="s">
        <v>132</v>
      </c>
      <c r="B3" s="108">
        <v>2015</v>
      </c>
      <c r="C3" s="108">
        <v>2016</v>
      </c>
      <c r="D3" s="109" t="s">
        <v>229</v>
      </c>
      <c r="E3" s="108">
        <v>2018</v>
      </c>
      <c r="F3" s="108">
        <v>2019</v>
      </c>
      <c r="G3" s="108">
        <v>2020</v>
      </c>
      <c r="H3" s="108">
        <v>2021</v>
      </c>
      <c r="I3" s="108">
        <v>2022</v>
      </c>
      <c r="J3" s="108">
        <v>2023</v>
      </c>
      <c r="K3" s="108">
        <v>2024</v>
      </c>
      <c r="L3" s="109"/>
      <c r="M3" s="109" t="s">
        <v>764</v>
      </c>
      <c r="N3" s="109" t="s">
        <v>765</v>
      </c>
      <c r="O3" s="109" t="s">
        <v>766</v>
      </c>
      <c r="P3" s="202" t="s">
        <v>767</v>
      </c>
      <c r="Q3" s="109" t="s">
        <v>768</v>
      </c>
      <c r="R3" s="109" t="s">
        <v>730</v>
      </c>
      <c r="S3" s="109" t="s">
        <v>731</v>
      </c>
      <c r="T3" s="202" t="s">
        <v>732</v>
      </c>
      <c r="U3" s="109" t="s">
        <v>733</v>
      </c>
      <c r="V3" s="109" t="s">
        <v>626</v>
      </c>
      <c r="W3" s="109" t="s">
        <v>620</v>
      </c>
      <c r="X3" s="202" t="s">
        <v>619</v>
      </c>
      <c r="Y3" s="109" t="s">
        <v>614</v>
      </c>
      <c r="Z3" s="109" t="s">
        <v>604</v>
      </c>
      <c r="AA3" s="109" t="s">
        <v>589</v>
      </c>
      <c r="AB3" s="202" t="s">
        <v>587</v>
      </c>
      <c r="AC3" s="109" t="s">
        <v>504</v>
      </c>
      <c r="AD3" s="109" t="s">
        <v>551</v>
      </c>
      <c r="AE3" s="109" t="s">
        <v>532</v>
      </c>
      <c r="AF3" s="202" t="s">
        <v>530</v>
      </c>
      <c r="AG3" s="109" t="s">
        <v>803</v>
      </c>
      <c r="AH3" s="109" t="s">
        <v>812</v>
      </c>
      <c r="AI3" s="109" t="s">
        <v>816</v>
      </c>
      <c r="AJ3" s="202" t="s">
        <v>835</v>
      </c>
      <c r="AK3" s="109" t="s">
        <v>872</v>
      </c>
      <c r="AL3" s="109" t="s">
        <v>986</v>
      </c>
      <c r="AM3" s="109" t="s">
        <v>1016</v>
      </c>
      <c r="AN3" s="202" t="s">
        <v>1039</v>
      </c>
      <c r="AO3" s="109" t="s">
        <v>1076</v>
      </c>
      <c r="AP3" s="109" t="s">
        <v>1285</v>
      </c>
    </row>
    <row r="4" spans="1:43">
      <c r="A4" s="111" t="s">
        <v>734</v>
      </c>
      <c r="B4" s="112">
        <v>27551</v>
      </c>
      <c r="C4" s="112">
        <v>27634</v>
      </c>
      <c r="D4" s="112">
        <v>33831</v>
      </c>
      <c r="E4" s="112">
        <v>39400</v>
      </c>
      <c r="F4" s="112">
        <v>39492</v>
      </c>
      <c r="G4" s="112">
        <v>36579</v>
      </c>
      <c r="H4" s="112">
        <v>45648</v>
      </c>
      <c r="I4" s="112">
        <v>53222</v>
      </c>
      <c r="J4" s="112">
        <v>59332</v>
      </c>
      <c r="K4" s="112">
        <v>62213</v>
      </c>
      <c r="L4" s="112"/>
      <c r="M4" s="112">
        <v>10036</v>
      </c>
      <c r="N4" s="112">
        <v>10483</v>
      </c>
      <c r="O4" s="112">
        <v>9413</v>
      </c>
      <c r="P4" s="195">
        <v>9468</v>
      </c>
      <c r="Q4" s="112">
        <v>10063</v>
      </c>
      <c r="R4" s="112">
        <v>10553</v>
      </c>
      <c r="S4" s="112">
        <v>9600</v>
      </c>
      <c r="T4" s="195">
        <v>9276</v>
      </c>
      <c r="U4" s="112">
        <v>9772</v>
      </c>
      <c r="V4" s="112">
        <v>8105</v>
      </c>
      <c r="W4" s="112">
        <v>9373</v>
      </c>
      <c r="X4" s="195">
        <v>9329</v>
      </c>
      <c r="Y4" s="112">
        <v>10690</v>
      </c>
      <c r="Z4" s="112">
        <v>11070</v>
      </c>
      <c r="AA4" s="112">
        <v>12245</v>
      </c>
      <c r="AB4" s="195">
        <v>11643</v>
      </c>
      <c r="AC4" s="112">
        <v>13818</v>
      </c>
      <c r="AD4" s="112">
        <v>13377</v>
      </c>
      <c r="AE4" s="112">
        <v>12322</v>
      </c>
      <c r="AF4" s="195">
        <v>13705</v>
      </c>
      <c r="AG4" s="112">
        <v>15148</v>
      </c>
      <c r="AH4" s="112">
        <v>15436</v>
      </c>
      <c r="AI4" s="112">
        <v>14360</v>
      </c>
      <c r="AJ4" s="195">
        <v>14388</v>
      </c>
      <c r="AK4" s="112">
        <v>14162</v>
      </c>
      <c r="AL4" s="112">
        <v>16349</v>
      </c>
      <c r="AM4" s="112">
        <v>15520</v>
      </c>
      <c r="AN4" s="195">
        <v>16182</v>
      </c>
      <c r="AO4" s="112">
        <v>16586</v>
      </c>
      <c r="AP4" s="112">
        <v>15276</v>
      </c>
    </row>
    <row r="5" spans="1:43">
      <c r="A5" s="111" t="s">
        <v>735</v>
      </c>
      <c r="B5" s="112">
        <v>28663</v>
      </c>
      <c r="C5" s="112">
        <v>27102</v>
      </c>
      <c r="D5" s="112">
        <v>31364</v>
      </c>
      <c r="E5" s="112">
        <v>38285</v>
      </c>
      <c r="F5" s="112">
        <v>40849</v>
      </c>
      <c r="G5" s="112">
        <v>36122</v>
      </c>
      <c r="H5" s="112">
        <v>39645</v>
      </c>
      <c r="I5" s="112">
        <v>49694</v>
      </c>
      <c r="J5" s="112">
        <v>60343</v>
      </c>
      <c r="K5" s="112">
        <v>63604</v>
      </c>
      <c r="L5" s="112"/>
      <c r="M5" s="112">
        <v>8233</v>
      </c>
      <c r="N5" s="112">
        <v>9843</v>
      </c>
      <c r="O5" s="112">
        <v>9651</v>
      </c>
      <c r="P5" s="195">
        <v>10558</v>
      </c>
      <c r="Q5" s="112">
        <v>9785</v>
      </c>
      <c r="R5" s="112">
        <v>10626</v>
      </c>
      <c r="S5" s="112">
        <v>10158</v>
      </c>
      <c r="T5" s="195">
        <v>10280</v>
      </c>
      <c r="U5" s="112">
        <v>9134</v>
      </c>
      <c r="V5" s="112">
        <v>8458</v>
      </c>
      <c r="W5" s="112">
        <v>8724</v>
      </c>
      <c r="X5" s="195">
        <v>9806</v>
      </c>
      <c r="Y5" s="112">
        <v>8773</v>
      </c>
      <c r="Z5" s="112">
        <v>9733</v>
      </c>
      <c r="AA5" s="112">
        <v>9966</v>
      </c>
      <c r="AB5" s="195">
        <v>11173</v>
      </c>
      <c r="AC5" s="112">
        <v>11088</v>
      </c>
      <c r="AD5" s="112">
        <v>11868</v>
      </c>
      <c r="AE5" s="112">
        <v>12802</v>
      </c>
      <c r="AF5" s="195">
        <v>13936</v>
      </c>
      <c r="AG5" s="112">
        <v>13868</v>
      </c>
      <c r="AH5" s="112">
        <v>15910</v>
      </c>
      <c r="AI5" s="112">
        <v>14997</v>
      </c>
      <c r="AJ5" s="195">
        <v>15568</v>
      </c>
      <c r="AK5" s="112">
        <v>14143</v>
      </c>
      <c r="AL5" s="112">
        <v>16511</v>
      </c>
      <c r="AM5" s="112">
        <v>15699</v>
      </c>
      <c r="AN5" s="195">
        <v>17251</v>
      </c>
      <c r="AO5" s="112">
        <v>15536</v>
      </c>
      <c r="AP5" s="112">
        <v>15130</v>
      </c>
    </row>
    <row r="6" spans="1:43" ht="10.5">
      <c r="A6" s="113" t="s">
        <v>449</v>
      </c>
      <c r="B6" s="114">
        <v>96</v>
      </c>
      <c r="C6" s="115">
        <v>102</v>
      </c>
      <c r="D6" s="115">
        <v>108</v>
      </c>
      <c r="E6" s="115">
        <v>102.91236776805536</v>
      </c>
      <c r="F6" s="115">
        <v>96.678009253592506</v>
      </c>
      <c r="G6" s="115">
        <v>101</v>
      </c>
      <c r="H6" s="115">
        <v>115</v>
      </c>
      <c r="I6" s="115">
        <v>107</v>
      </c>
      <c r="J6" s="115">
        <v>98</v>
      </c>
      <c r="K6" s="115">
        <v>98</v>
      </c>
      <c r="L6" s="607"/>
      <c r="M6" s="115">
        <v>121.89967205150005</v>
      </c>
      <c r="N6" s="115">
        <v>106.50208269836432</v>
      </c>
      <c r="O6" s="115">
        <v>97.533934307325666</v>
      </c>
      <c r="P6" s="196">
        <v>89.676075014207228</v>
      </c>
      <c r="Q6" s="115">
        <v>102.84108329075114</v>
      </c>
      <c r="R6" s="115">
        <v>99.313005834744956</v>
      </c>
      <c r="S6" s="115">
        <v>94.506792675723574</v>
      </c>
      <c r="T6" s="196">
        <v>90.233463035019454</v>
      </c>
      <c r="U6" s="115">
        <v>107</v>
      </c>
      <c r="V6" s="115">
        <v>95.826436509813192</v>
      </c>
      <c r="W6" s="115">
        <v>107.43924805135259</v>
      </c>
      <c r="X6" s="196">
        <v>95.135631246175805</v>
      </c>
      <c r="Y6" s="115">
        <v>121.85113416163229</v>
      </c>
      <c r="Z6" s="115">
        <v>114</v>
      </c>
      <c r="AA6" s="115">
        <v>122.86775035119406</v>
      </c>
      <c r="AB6" s="196">
        <v>104.20656940839524</v>
      </c>
      <c r="AC6" s="115">
        <v>124.62121212121211</v>
      </c>
      <c r="AD6" s="115">
        <v>112.71486349848333</v>
      </c>
      <c r="AE6" s="115">
        <v>96.250585845961567</v>
      </c>
      <c r="AF6" s="196">
        <v>98</v>
      </c>
      <c r="AG6" s="115">
        <v>109.22988174214019</v>
      </c>
      <c r="AH6" s="115">
        <v>97</v>
      </c>
      <c r="AI6" s="115">
        <v>95.752483830099351</v>
      </c>
      <c r="AJ6" s="196">
        <v>92.420349434737929</v>
      </c>
      <c r="AK6" s="115">
        <v>100.13434207735274</v>
      </c>
      <c r="AL6" s="115">
        <v>99.018835927563444</v>
      </c>
      <c r="AM6" s="115">
        <v>98.859799987260331</v>
      </c>
      <c r="AN6" s="196">
        <v>93.803257782157559</v>
      </c>
      <c r="AO6" s="115">
        <v>107</v>
      </c>
      <c r="AP6" s="115">
        <v>100.96497025776603</v>
      </c>
      <c r="AQ6" s="991"/>
    </row>
    <row r="7" spans="1:43">
      <c r="A7" s="51" t="s">
        <v>133</v>
      </c>
      <c r="B7" s="107"/>
      <c r="C7" s="107"/>
      <c r="D7" s="317"/>
      <c r="E7" s="107"/>
      <c r="F7" s="107"/>
      <c r="G7" s="107"/>
      <c r="H7" s="107"/>
      <c r="I7" s="107"/>
      <c r="J7" s="107"/>
      <c r="K7" s="107"/>
      <c r="L7" s="107"/>
      <c r="M7" s="107"/>
      <c r="N7" s="107"/>
      <c r="O7" s="107"/>
      <c r="P7" s="194"/>
      <c r="Q7" s="107"/>
      <c r="R7" s="107"/>
      <c r="S7" s="107"/>
      <c r="T7" s="194"/>
      <c r="U7" s="107"/>
      <c r="V7" s="107"/>
      <c r="W7" s="107"/>
      <c r="X7" s="194"/>
      <c r="Y7" s="107"/>
      <c r="Z7" s="107"/>
      <c r="AA7" s="107"/>
      <c r="AB7" s="194"/>
      <c r="AC7" s="107"/>
      <c r="AD7" s="107"/>
      <c r="AE7" s="107"/>
      <c r="AF7" s="194"/>
      <c r="AG7" s="107"/>
      <c r="AH7" s="107"/>
      <c r="AI7" s="107"/>
      <c r="AJ7" s="194"/>
      <c r="AK7" s="107"/>
      <c r="AL7" s="107"/>
      <c r="AM7" s="107"/>
      <c r="AN7" s="194"/>
      <c r="AO7" s="107"/>
      <c r="AP7" s="107"/>
    </row>
    <row r="8" spans="1:43">
      <c r="A8" s="107"/>
      <c r="B8" s="107"/>
      <c r="C8" s="107"/>
      <c r="D8" s="317"/>
      <c r="E8" s="107"/>
      <c r="F8" s="107"/>
      <c r="G8" s="107"/>
      <c r="H8" s="107"/>
      <c r="I8" s="107"/>
      <c r="J8" s="107"/>
      <c r="K8" s="107"/>
      <c r="L8" s="107"/>
      <c r="M8" s="107"/>
      <c r="N8" s="107"/>
      <c r="O8" s="107"/>
      <c r="P8" s="194"/>
      <c r="Q8" s="107"/>
      <c r="R8" s="107"/>
      <c r="S8" s="107"/>
      <c r="T8" s="194"/>
      <c r="U8" s="107"/>
      <c r="V8" s="107"/>
      <c r="W8" s="107"/>
      <c r="X8" s="194"/>
      <c r="Y8" s="107"/>
      <c r="Z8" s="107"/>
      <c r="AA8" s="107"/>
      <c r="AB8" s="194"/>
      <c r="AC8" s="107"/>
      <c r="AD8" s="107"/>
      <c r="AE8" s="107"/>
      <c r="AF8" s="194"/>
      <c r="AG8" s="107"/>
      <c r="AH8" s="107"/>
      <c r="AI8" s="107"/>
      <c r="AJ8" s="194"/>
      <c r="AK8" s="107"/>
      <c r="AL8" s="107"/>
      <c r="AM8" s="107"/>
      <c r="AN8" s="194"/>
      <c r="AO8" s="107"/>
      <c r="AP8" s="107"/>
    </row>
    <row r="9" spans="1:43" ht="12.5">
      <c r="A9" s="585" t="s">
        <v>134</v>
      </c>
      <c r="B9" s="110">
        <v>2015</v>
      </c>
      <c r="C9" s="110">
        <v>2016</v>
      </c>
      <c r="D9" s="110" t="s">
        <v>229</v>
      </c>
      <c r="E9" s="110">
        <v>2018</v>
      </c>
      <c r="F9" s="110">
        <v>2019</v>
      </c>
      <c r="G9" s="110">
        <v>2020</v>
      </c>
      <c r="H9" s="110">
        <v>2021</v>
      </c>
      <c r="I9" s="110">
        <v>2022</v>
      </c>
      <c r="J9" s="110">
        <v>2023</v>
      </c>
      <c r="K9" s="110">
        <v>2024</v>
      </c>
      <c r="L9" s="123"/>
      <c r="M9" s="324" t="s">
        <v>764</v>
      </c>
      <c r="N9" s="324" t="s">
        <v>765</v>
      </c>
      <c r="O9" s="324" t="s">
        <v>766</v>
      </c>
      <c r="P9" s="586" t="s">
        <v>767</v>
      </c>
      <c r="Q9" s="324" t="s">
        <v>768</v>
      </c>
      <c r="R9" s="324" t="s">
        <v>730</v>
      </c>
      <c r="S9" s="324" t="s">
        <v>731</v>
      </c>
      <c r="T9" s="586" t="s">
        <v>732</v>
      </c>
      <c r="U9" s="324" t="s">
        <v>733</v>
      </c>
      <c r="V9" s="324" t="s">
        <v>626</v>
      </c>
      <c r="W9" s="324" t="s">
        <v>620</v>
      </c>
      <c r="X9" s="586" t="s">
        <v>619</v>
      </c>
      <c r="Y9" s="324" t="s">
        <v>614</v>
      </c>
      <c r="Z9" s="324" t="s">
        <v>604</v>
      </c>
      <c r="AA9" s="324" t="s">
        <v>589</v>
      </c>
      <c r="AB9" s="586" t="s">
        <v>587</v>
      </c>
      <c r="AC9" s="324" t="s">
        <v>504</v>
      </c>
      <c r="AD9" s="324" t="s">
        <v>551</v>
      </c>
      <c r="AE9" s="324" t="s">
        <v>532</v>
      </c>
      <c r="AF9" s="586" t="s">
        <v>530</v>
      </c>
      <c r="AG9" s="324" t="s">
        <v>803</v>
      </c>
      <c r="AH9" s="324" t="s">
        <v>812</v>
      </c>
      <c r="AI9" s="324" t="s">
        <v>816</v>
      </c>
      <c r="AJ9" s="586" t="s">
        <v>835</v>
      </c>
      <c r="AK9" s="324" t="s">
        <v>872</v>
      </c>
      <c r="AL9" s="324" t="s">
        <v>986</v>
      </c>
      <c r="AM9" s="324" t="s">
        <v>1016</v>
      </c>
      <c r="AN9" s="586" t="s">
        <v>1039</v>
      </c>
      <c r="AO9" s="324" t="s">
        <v>1076</v>
      </c>
      <c r="AP9" s="324" t="s">
        <v>1285</v>
      </c>
    </row>
    <row r="10" spans="1:43">
      <c r="A10" s="111" t="s">
        <v>736</v>
      </c>
      <c r="B10" s="112">
        <v>5175</v>
      </c>
      <c r="C10" s="112">
        <v>4548</v>
      </c>
      <c r="D10" s="112">
        <v>5930</v>
      </c>
      <c r="E10" s="112">
        <v>7385</v>
      </c>
      <c r="F10" s="112">
        <v>8136</v>
      </c>
      <c r="G10" s="112">
        <v>7382</v>
      </c>
      <c r="H10" s="112">
        <v>8995</v>
      </c>
      <c r="I10" s="112">
        <v>11147</v>
      </c>
      <c r="J10" s="112">
        <v>13183</v>
      </c>
      <c r="K10" s="112">
        <v>12385</v>
      </c>
      <c r="L10" s="112"/>
      <c r="M10" s="112">
        <v>1515</v>
      </c>
      <c r="N10" s="112">
        <v>1810</v>
      </c>
      <c r="O10" s="112">
        <v>1898</v>
      </c>
      <c r="P10" s="195">
        <v>2162</v>
      </c>
      <c r="Q10" s="112">
        <v>1930</v>
      </c>
      <c r="R10" s="112">
        <v>2262.5304182700002</v>
      </c>
      <c r="S10" s="112">
        <v>1927.4103993842</v>
      </c>
      <c r="T10" s="195">
        <v>2016.060167183</v>
      </c>
      <c r="U10" s="112">
        <v>1932</v>
      </c>
      <c r="V10" s="112">
        <v>1418</v>
      </c>
      <c r="W10" s="112">
        <v>1820</v>
      </c>
      <c r="X10" s="195">
        <v>2212</v>
      </c>
      <c r="Y10" s="112">
        <v>1867</v>
      </c>
      <c r="Z10" s="112">
        <v>2182</v>
      </c>
      <c r="AA10" s="112">
        <v>2352</v>
      </c>
      <c r="AB10" s="195">
        <v>2594</v>
      </c>
      <c r="AC10" s="112">
        <v>2631</v>
      </c>
      <c r="AD10" s="112">
        <v>2381</v>
      </c>
      <c r="AE10" s="112">
        <v>2900</v>
      </c>
      <c r="AF10" s="195">
        <v>3235</v>
      </c>
      <c r="AG10" s="112">
        <v>3161</v>
      </c>
      <c r="AH10" s="112">
        <v>3413</v>
      </c>
      <c r="AI10" s="112">
        <v>3260</v>
      </c>
      <c r="AJ10" s="195">
        <v>3349</v>
      </c>
      <c r="AK10" s="112">
        <v>2760</v>
      </c>
      <c r="AL10" s="112">
        <v>2921</v>
      </c>
      <c r="AM10" s="112">
        <v>3277</v>
      </c>
      <c r="AN10" s="195">
        <v>3427</v>
      </c>
      <c r="AO10" s="112">
        <v>3088</v>
      </c>
      <c r="AP10" s="112">
        <v>2831</v>
      </c>
    </row>
    <row r="11" spans="1:43">
      <c r="A11" s="111" t="s">
        <v>737</v>
      </c>
      <c r="B11" s="112">
        <v>1395</v>
      </c>
      <c r="C11" s="112">
        <v>1217</v>
      </c>
      <c r="D11" s="112">
        <v>1253</v>
      </c>
      <c r="E11" s="112">
        <v>1368</v>
      </c>
      <c r="F11" s="112">
        <v>1978</v>
      </c>
      <c r="G11" s="112">
        <v>1746</v>
      </c>
      <c r="H11" s="112">
        <v>1745</v>
      </c>
      <c r="I11" s="112">
        <v>2129</v>
      </c>
      <c r="J11" s="112">
        <f>2663</f>
        <v>2663</v>
      </c>
      <c r="K11" s="112">
        <v>3443</v>
      </c>
      <c r="L11" s="112"/>
      <c r="M11" s="112">
        <v>317</v>
      </c>
      <c r="N11" s="112">
        <v>340</v>
      </c>
      <c r="O11" s="112">
        <v>360</v>
      </c>
      <c r="P11" s="197">
        <v>351</v>
      </c>
      <c r="Q11" s="112">
        <v>473</v>
      </c>
      <c r="R11" s="112">
        <v>466.83593991509997</v>
      </c>
      <c r="S11" s="112">
        <v>554</v>
      </c>
      <c r="T11" s="195">
        <v>484.90534584399995</v>
      </c>
      <c r="U11" s="112">
        <v>440</v>
      </c>
      <c r="V11" s="112">
        <v>441</v>
      </c>
      <c r="W11" s="112">
        <v>425</v>
      </c>
      <c r="X11" s="195">
        <v>440</v>
      </c>
      <c r="Y11" s="112">
        <v>382</v>
      </c>
      <c r="Z11" s="112">
        <v>411</v>
      </c>
      <c r="AA11" s="112">
        <v>462</v>
      </c>
      <c r="AB11" s="195">
        <v>490</v>
      </c>
      <c r="AC11" s="112">
        <v>466</v>
      </c>
      <c r="AD11" s="112">
        <v>487</v>
      </c>
      <c r="AE11" s="112">
        <v>525</v>
      </c>
      <c r="AF11" s="195">
        <v>651</v>
      </c>
      <c r="AG11" s="112">
        <v>635</v>
      </c>
      <c r="AH11" s="112">
        <v>644</v>
      </c>
      <c r="AI11" s="112">
        <v>700</v>
      </c>
      <c r="AJ11" s="195">
        <f>683+1</f>
        <v>684</v>
      </c>
      <c r="AK11" s="112">
        <v>672</v>
      </c>
      <c r="AL11" s="112">
        <v>788</v>
      </c>
      <c r="AM11" s="112">
        <v>1168</v>
      </c>
      <c r="AN11" s="195">
        <v>815</v>
      </c>
      <c r="AO11" s="112">
        <v>779</v>
      </c>
      <c r="AP11" s="112">
        <v>768</v>
      </c>
    </row>
    <row r="12" spans="1:43" ht="10.5">
      <c r="A12" s="113" t="s">
        <v>124</v>
      </c>
      <c r="B12" s="117">
        <v>6570</v>
      </c>
      <c r="C12" s="117">
        <v>5765</v>
      </c>
      <c r="D12" s="117">
        <v>7183</v>
      </c>
      <c r="E12" s="117">
        <v>8753</v>
      </c>
      <c r="F12" s="117">
        <v>10114</v>
      </c>
      <c r="G12" s="117">
        <v>9128</v>
      </c>
      <c r="H12" s="117">
        <v>10740</v>
      </c>
      <c r="I12" s="117">
        <v>13276</v>
      </c>
      <c r="J12" s="117">
        <f>15843+3</f>
        <v>15846</v>
      </c>
      <c r="K12" s="117">
        <v>15828</v>
      </c>
      <c r="L12" s="608"/>
      <c r="M12" s="117">
        <v>1832</v>
      </c>
      <c r="N12" s="117">
        <v>2150</v>
      </c>
      <c r="O12" s="117">
        <v>2258</v>
      </c>
      <c r="P12" s="198">
        <v>2513</v>
      </c>
      <c r="Q12" s="117">
        <v>2403</v>
      </c>
      <c r="R12" s="117">
        <v>2729.3663581851001</v>
      </c>
      <c r="S12" s="117">
        <v>2481</v>
      </c>
      <c r="T12" s="198">
        <v>2500.9655130269998</v>
      </c>
      <c r="U12" s="117">
        <v>2372</v>
      </c>
      <c r="V12" s="117">
        <v>1859</v>
      </c>
      <c r="W12" s="117">
        <v>2245</v>
      </c>
      <c r="X12" s="198">
        <v>2652</v>
      </c>
      <c r="Y12" s="117">
        <v>2248</v>
      </c>
      <c r="Z12" s="117">
        <v>2594</v>
      </c>
      <c r="AA12" s="117">
        <v>2813</v>
      </c>
      <c r="AB12" s="198">
        <v>3085</v>
      </c>
      <c r="AC12" s="117">
        <v>3097</v>
      </c>
      <c r="AD12" s="117">
        <v>2868</v>
      </c>
      <c r="AE12" s="117">
        <v>3425</v>
      </c>
      <c r="AF12" s="198">
        <v>3886</v>
      </c>
      <c r="AG12" s="117">
        <v>3795</v>
      </c>
      <c r="AH12" s="117">
        <v>4056</v>
      </c>
      <c r="AI12" s="117">
        <v>3960</v>
      </c>
      <c r="AJ12" s="198">
        <f>4032+3</f>
        <v>4035</v>
      </c>
      <c r="AK12" s="117">
        <v>3432</v>
      </c>
      <c r="AL12" s="117">
        <v>3709</v>
      </c>
      <c r="AM12" s="117">
        <v>4445</v>
      </c>
      <c r="AN12" s="198">
        <v>4242</v>
      </c>
      <c r="AO12" s="117">
        <v>3866</v>
      </c>
      <c r="AP12" s="117">
        <v>3599</v>
      </c>
    </row>
    <row r="13" spans="1:43">
      <c r="A13" s="51" t="s">
        <v>135</v>
      </c>
      <c r="B13" s="107"/>
      <c r="C13" s="107"/>
      <c r="D13" s="317"/>
      <c r="E13" s="107"/>
      <c r="F13" s="107"/>
      <c r="G13" s="107"/>
      <c r="H13" s="107"/>
      <c r="I13" s="107"/>
      <c r="J13" s="107"/>
      <c r="K13" s="107"/>
      <c r="L13" s="107"/>
      <c r="M13" s="107"/>
      <c r="N13" s="107"/>
      <c r="O13" s="107"/>
      <c r="P13" s="194"/>
      <c r="Q13" s="107"/>
      <c r="R13" s="107"/>
      <c r="S13" s="107"/>
      <c r="T13" s="194"/>
      <c r="U13" s="107"/>
      <c r="V13" s="107"/>
      <c r="W13" s="107"/>
      <c r="X13" s="194"/>
      <c r="Y13" s="107"/>
      <c r="Z13" s="107"/>
      <c r="AA13" s="107"/>
      <c r="AB13" s="194"/>
      <c r="AC13" s="107"/>
      <c r="AD13" s="107"/>
      <c r="AE13" s="107"/>
      <c r="AF13" s="194"/>
      <c r="AG13" s="107"/>
      <c r="AH13" s="107"/>
      <c r="AI13" s="107"/>
      <c r="AJ13" s="194"/>
      <c r="AK13" s="107"/>
      <c r="AL13" s="107"/>
      <c r="AM13" s="107"/>
      <c r="AN13" s="194"/>
      <c r="AO13" s="107"/>
      <c r="AP13" s="107"/>
    </row>
    <row r="14" spans="1:43">
      <c r="A14" s="107"/>
      <c r="B14" s="107"/>
      <c r="C14" s="107"/>
      <c r="D14" s="317"/>
      <c r="E14" s="107"/>
      <c r="F14" s="107"/>
      <c r="G14" s="107"/>
      <c r="H14" s="107"/>
      <c r="I14" s="107"/>
      <c r="J14" s="107"/>
      <c r="K14" s="107"/>
      <c r="L14" s="107"/>
      <c r="M14" s="107"/>
      <c r="N14" s="107"/>
      <c r="O14" s="107"/>
      <c r="P14" s="194"/>
      <c r="Q14" s="107"/>
      <c r="R14" s="107"/>
      <c r="S14" s="107"/>
      <c r="T14" s="194"/>
      <c r="U14" s="107"/>
      <c r="V14" s="107"/>
      <c r="W14" s="107"/>
      <c r="X14" s="194"/>
      <c r="Y14" s="107"/>
      <c r="Z14" s="107"/>
      <c r="AA14" s="107"/>
      <c r="AB14" s="194"/>
      <c r="AC14" s="107"/>
      <c r="AD14" s="107"/>
      <c r="AE14" s="107"/>
      <c r="AF14" s="194"/>
      <c r="AG14" s="107"/>
      <c r="AH14" s="107"/>
      <c r="AI14" s="107"/>
      <c r="AJ14" s="194"/>
      <c r="AK14" s="107"/>
      <c r="AL14" s="107"/>
      <c r="AM14" s="107"/>
      <c r="AN14" s="194"/>
      <c r="AO14" s="107"/>
      <c r="AP14" s="107"/>
    </row>
    <row r="15" spans="1:43" ht="12.5">
      <c r="A15" s="585" t="s">
        <v>136</v>
      </c>
      <c r="B15" s="110">
        <v>2015</v>
      </c>
      <c r="C15" s="110">
        <v>2016</v>
      </c>
      <c r="D15" s="110" t="s">
        <v>229</v>
      </c>
      <c r="E15" s="110">
        <v>2018</v>
      </c>
      <c r="F15" s="110">
        <v>2019</v>
      </c>
      <c r="G15" s="110">
        <v>2020</v>
      </c>
      <c r="H15" s="110">
        <v>2021</v>
      </c>
      <c r="I15" s="110">
        <v>2022</v>
      </c>
      <c r="J15" s="110">
        <v>2023</v>
      </c>
      <c r="K15" s="110">
        <v>2024</v>
      </c>
      <c r="L15" s="123"/>
      <c r="M15" s="324" t="s">
        <v>764</v>
      </c>
      <c r="N15" s="324" t="s">
        <v>765</v>
      </c>
      <c r="O15" s="324" t="s">
        <v>766</v>
      </c>
      <c r="P15" s="586" t="s">
        <v>767</v>
      </c>
      <c r="Q15" s="324" t="s">
        <v>768</v>
      </c>
      <c r="R15" s="324" t="s">
        <v>730</v>
      </c>
      <c r="S15" s="324" t="s">
        <v>731</v>
      </c>
      <c r="T15" s="586" t="s">
        <v>732</v>
      </c>
      <c r="U15" s="324" t="s">
        <v>733</v>
      </c>
      <c r="V15" s="324" t="s">
        <v>626</v>
      </c>
      <c r="W15" s="324" t="s">
        <v>620</v>
      </c>
      <c r="X15" s="586" t="s">
        <v>619</v>
      </c>
      <c r="Y15" s="324" t="s">
        <v>614</v>
      </c>
      <c r="Z15" s="324" t="s">
        <v>604</v>
      </c>
      <c r="AA15" s="324" t="s">
        <v>589</v>
      </c>
      <c r="AB15" s="586" t="s">
        <v>587</v>
      </c>
      <c r="AC15" s="324" t="s">
        <v>504</v>
      </c>
      <c r="AD15" s="324" t="s">
        <v>551</v>
      </c>
      <c r="AE15" s="324" t="s">
        <v>532</v>
      </c>
      <c r="AF15" s="586" t="s">
        <v>530</v>
      </c>
      <c r="AG15" s="324" t="s">
        <v>803</v>
      </c>
      <c r="AH15" s="324" t="s">
        <v>812</v>
      </c>
      <c r="AI15" s="324" t="s">
        <v>816</v>
      </c>
      <c r="AJ15" s="586" t="s">
        <v>835</v>
      </c>
      <c r="AK15" s="324" t="s">
        <v>872</v>
      </c>
      <c r="AL15" s="324" t="s">
        <v>986</v>
      </c>
      <c r="AM15" s="324" t="s">
        <v>1016</v>
      </c>
      <c r="AN15" s="586" t="s">
        <v>1039</v>
      </c>
      <c r="AO15" s="324" t="s">
        <v>1076</v>
      </c>
      <c r="AP15" s="324" t="s">
        <v>1285</v>
      </c>
    </row>
    <row r="16" spans="1:43">
      <c r="A16" s="111" t="s">
        <v>738</v>
      </c>
      <c r="B16" s="112">
        <v>6570</v>
      </c>
      <c r="C16" s="112">
        <v>5765</v>
      </c>
      <c r="D16" s="112">
        <v>7183</v>
      </c>
      <c r="E16" s="112">
        <v>8753</v>
      </c>
      <c r="F16" s="112">
        <v>10114</v>
      </c>
      <c r="G16" s="112">
        <v>9128</v>
      </c>
      <c r="H16" s="112">
        <v>10740</v>
      </c>
      <c r="I16" s="112">
        <v>13276</v>
      </c>
      <c r="J16" s="112">
        <f>15843+3</f>
        <v>15846</v>
      </c>
      <c r="K16" s="112">
        <v>15827</v>
      </c>
      <c r="L16" s="112"/>
      <c r="M16" s="112">
        <v>1832</v>
      </c>
      <c r="N16" s="112">
        <v>2150</v>
      </c>
      <c r="O16" s="112">
        <v>2258</v>
      </c>
      <c r="P16" s="195">
        <v>2513</v>
      </c>
      <c r="Q16" s="112">
        <v>2403</v>
      </c>
      <c r="R16" s="112">
        <v>2729</v>
      </c>
      <c r="S16" s="112">
        <v>2481</v>
      </c>
      <c r="T16" s="195">
        <v>2501</v>
      </c>
      <c r="U16" s="112">
        <v>2372</v>
      </c>
      <c r="V16" s="112">
        <v>1859</v>
      </c>
      <c r="W16" s="112">
        <v>2245</v>
      </c>
      <c r="X16" s="195">
        <v>2652</v>
      </c>
      <c r="Y16" s="112">
        <v>2248</v>
      </c>
      <c r="Z16" s="112">
        <v>2594</v>
      </c>
      <c r="AA16" s="112">
        <v>2813</v>
      </c>
      <c r="AB16" s="195">
        <v>3085</v>
      </c>
      <c r="AC16" s="112">
        <v>3097</v>
      </c>
      <c r="AD16" s="112">
        <v>2868</v>
      </c>
      <c r="AE16" s="112">
        <v>3425</v>
      </c>
      <c r="AF16" s="195">
        <v>3886</v>
      </c>
      <c r="AG16" s="112">
        <v>3795</v>
      </c>
      <c r="AH16" s="112">
        <v>4056</v>
      </c>
      <c r="AI16" s="112">
        <v>3960</v>
      </c>
      <c r="AJ16" s="195">
        <f>4032+3</f>
        <v>4035</v>
      </c>
      <c r="AK16" s="112">
        <v>3432</v>
      </c>
      <c r="AL16" s="112">
        <v>3709</v>
      </c>
      <c r="AM16" s="112">
        <v>4445</v>
      </c>
      <c r="AN16" s="195">
        <v>4242</v>
      </c>
      <c r="AO16" s="112">
        <v>3866</v>
      </c>
      <c r="AP16" s="112">
        <v>3600</v>
      </c>
    </row>
    <row r="17" spans="1:42">
      <c r="A17" s="111" t="s">
        <v>735</v>
      </c>
      <c r="B17" s="112">
        <v>28663</v>
      </c>
      <c r="C17" s="112">
        <v>27102</v>
      </c>
      <c r="D17" s="112">
        <v>31364</v>
      </c>
      <c r="E17" s="112">
        <v>38285</v>
      </c>
      <c r="F17" s="112">
        <v>40849</v>
      </c>
      <c r="G17" s="112">
        <v>36122</v>
      </c>
      <c r="H17" s="112">
        <v>39645</v>
      </c>
      <c r="I17" s="112">
        <v>49694</v>
      </c>
      <c r="J17" s="112">
        <v>60343</v>
      </c>
      <c r="K17" s="112">
        <v>63604</v>
      </c>
      <c r="L17" s="112"/>
      <c r="M17" s="112">
        <v>8233</v>
      </c>
      <c r="N17" s="112">
        <v>9843</v>
      </c>
      <c r="O17" s="112">
        <v>9651</v>
      </c>
      <c r="P17" s="195">
        <v>10558</v>
      </c>
      <c r="Q17" s="112">
        <v>9785</v>
      </c>
      <c r="R17" s="112">
        <v>10626</v>
      </c>
      <c r="S17" s="112">
        <v>10158</v>
      </c>
      <c r="T17" s="195">
        <v>10280</v>
      </c>
      <c r="U17" s="112">
        <v>9134</v>
      </c>
      <c r="V17" s="112">
        <v>8458</v>
      </c>
      <c r="W17" s="112">
        <v>8724</v>
      </c>
      <c r="X17" s="195">
        <v>9806</v>
      </c>
      <c r="Y17" s="112">
        <v>8773</v>
      </c>
      <c r="Z17" s="112">
        <v>9733</v>
      </c>
      <c r="AA17" s="112">
        <v>9966</v>
      </c>
      <c r="AB17" s="195">
        <v>11173</v>
      </c>
      <c r="AC17" s="112">
        <v>11088</v>
      </c>
      <c r="AD17" s="112">
        <v>11868</v>
      </c>
      <c r="AE17" s="112">
        <v>12802</v>
      </c>
      <c r="AF17" s="195">
        <v>13936</v>
      </c>
      <c r="AG17" s="112">
        <v>13868</v>
      </c>
      <c r="AH17" s="112">
        <v>15910</v>
      </c>
      <c r="AI17" s="112">
        <v>14997</v>
      </c>
      <c r="AJ17" s="195">
        <v>15568</v>
      </c>
      <c r="AK17" s="112">
        <v>14143</v>
      </c>
      <c r="AL17" s="112">
        <v>16511</v>
      </c>
      <c r="AM17" s="112">
        <v>15699</v>
      </c>
      <c r="AN17" s="195">
        <v>17251</v>
      </c>
      <c r="AO17" s="112">
        <v>15536</v>
      </c>
      <c r="AP17" s="112">
        <v>15130</v>
      </c>
    </row>
    <row r="18" spans="1:42" ht="10.5">
      <c r="A18" s="113" t="s">
        <v>97</v>
      </c>
      <c r="B18" s="114" t="s">
        <v>137</v>
      </c>
      <c r="C18" s="118" t="s">
        <v>138</v>
      </c>
      <c r="D18" s="118">
        <v>22.9</v>
      </c>
      <c r="E18" s="118">
        <v>22.862739976492101</v>
      </c>
      <c r="F18" s="118">
        <v>24.759480036230997</v>
      </c>
      <c r="G18" s="118">
        <v>25.3</v>
      </c>
      <c r="H18" s="118">
        <v>27.1</v>
      </c>
      <c r="I18" s="118">
        <v>26.7</v>
      </c>
      <c r="J18" s="118">
        <v>26.3</v>
      </c>
      <c r="K18" s="118">
        <v>24.9</v>
      </c>
      <c r="L18" s="119"/>
      <c r="M18" s="118">
        <v>22.251913032916313</v>
      </c>
      <c r="N18" s="118">
        <v>21.842934064817637</v>
      </c>
      <c r="O18" s="118">
        <v>23.39653921873381</v>
      </c>
      <c r="P18" s="199">
        <v>23.801856412199278</v>
      </c>
      <c r="Q18" s="118">
        <v>24.55799693408278</v>
      </c>
      <c r="R18" s="118">
        <v>25.685736478308868</v>
      </c>
      <c r="S18" s="118">
        <v>24.418294933886592</v>
      </c>
      <c r="T18" s="199">
        <v>24.328458297928012</v>
      </c>
      <c r="U18" s="118">
        <v>26</v>
      </c>
      <c r="V18" s="118">
        <v>21.979191298179238</v>
      </c>
      <c r="W18" s="118">
        <v>25.733608436497018</v>
      </c>
      <c r="X18" s="199">
        <v>27</v>
      </c>
      <c r="Y18" s="118">
        <v>25.624073862988716</v>
      </c>
      <c r="Z18" s="118">
        <v>26.7</v>
      </c>
      <c r="AA18" s="118">
        <v>28.22596829219346</v>
      </c>
      <c r="AB18" s="199">
        <v>27.611205584892151</v>
      </c>
      <c r="AC18" s="118">
        <v>27.93109668109668</v>
      </c>
      <c r="AD18" s="118">
        <v>24.165824064711831</v>
      </c>
      <c r="AE18" s="118">
        <v>26.753632244961722</v>
      </c>
      <c r="AF18" s="199">
        <v>27.884615384615387</v>
      </c>
      <c r="AG18" s="118">
        <v>27.365157196423421</v>
      </c>
      <c r="AH18" s="118">
        <v>25.5</v>
      </c>
      <c r="AI18" s="118">
        <v>26.405281056211244</v>
      </c>
      <c r="AJ18" s="199">
        <v>25.899280575539567</v>
      </c>
      <c r="AK18" s="118">
        <v>24.259350915647317</v>
      </c>
      <c r="AL18" s="118">
        <v>22.463812004118466</v>
      </c>
      <c r="AM18" s="118">
        <v>28.307535511816042</v>
      </c>
      <c r="AN18" s="199">
        <v>24.589878847603039</v>
      </c>
      <c r="AO18" s="118">
        <v>25</v>
      </c>
      <c r="AP18" s="118">
        <v>23.793787177792467</v>
      </c>
    </row>
    <row r="19" spans="1:42">
      <c r="A19" s="51" t="s">
        <v>133</v>
      </c>
      <c r="B19" s="107"/>
      <c r="C19" s="107"/>
      <c r="D19" s="317"/>
      <c r="E19" s="107"/>
      <c r="F19" s="107"/>
      <c r="G19" s="107"/>
      <c r="H19" s="107"/>
      <c r="I19" s="107"/>
      <c r="J19" s="107"/>
      <c r="K19" s="107"/>
      <c r="L19" s="107"/>
      <c r="M19" s="107"/>
      <c r="N19" s="107"/>
      <c r="O19" s="107"/>
      <c r="P19" s="194"/>
      <c r="Q19" s="107"/>
      <c r="R19" s="107"/>
      <c r="S19" s="107"/>
      <c r="T19" s="194"/>
      <c r="U19" s="107"/>
      <c r="V19" s="107"/>
      <c r="W19" s="107"/>
      <c r="X19" s="194"/>
      <c r="Y19" s="107"/>
      <c r="Z19" s="107"/>
      <c r="AA19" s="107"/>
      <c r="AB19" s="194"/>
      <c r="AC19" s="107"/>
      <c r="AD19" s="107"/>
      <c r="AE19" s="107"/>
      <c r="AF19" s="194"/>
      <c r="AG19" s="107"/>
      <c r="AH19" s="107"/>
      <c r="AI19" s="107"/>
      <c r="AJ19" s="194"/>
      <c r="AK19" s="107"/>
      <c r="AL19" s="107"/>
      <c r="AM19" s="107"/>
      <c r="AN19" s="194"/>
      <c r="AO19" s="107"/>
      <c r="AP19" s="107"/>
    </row>
    <row r="20" spans="1:42">
      <c r="A20" s="107"/>
      <c r="B20" s="107"/>
      <c r="C20" s="107"/>
      <c r="D20" s="317"/>
      <c r="E20" s="107"/>
      <c r="F20" s="107"/>
      <c r="G20" s="107"/>
      <c r="H20" s="107"/>
      <c r="I20" s="107"/>
      <c r="J20" s="107"/>
      <c r="K20" s="107"/>
      <c r="L20" s="107"/>
      <c r="M20" s="107"/>
      <c r="N20" s="107"/>
      <c r="O20" s="107"/>
      <c r="P20" s="194"/>
      <c r="Q20" s="107"/>
      <c r="R20" s="107"/>
      <c r="S20" s="107"/>
      <c r="T20" s="194"/>
      <c r="U20" s="107"/>
      <c r="V20" s="107"/>
      <c r="W20" s="107"/>
      <c r="X20" s="194"/>
      <c r="Y20" s="107"/>
      <c r="Z20" s="107"/>
      <c r="AA20" s="107"/>
      <c r="AB20" s="194"/>
      <c r="AC20" s="107"/>
      <c r="AD20" s="107"/>
      <c r="AE20" s="107"/>
      <c r="AF20" s="194"/>
      <c r="AG20" s="107"/>
      <c r="AH20" s="107"/>
      <c r="AI20" s="107"/>
      <c r="AJ20" s="194"/>
      <c r="AK20" s="107"/>
      <c r="AL20" s="107"/>
      <c r="AM20" s="107"/>
      <c r="AN20" s="194"/>
      <c r="AO20" s="107"/>
      <c r="AP20" s="107"/>
    </row>
    <row r="21" spans="1:42" ht="12.5">
      <c r="A21" s="585" t="s">
        <v>139</v>
      </c>
      <c r="B21" s="110">
        <v>2015</v>
      </c>
      <c r="C21" s="110">
        <v>2016</v>
      </c>
      <c r="D21" s="110" t="s">
        <v>229</v>
      </c>
      <c r="E21" s="110">
        <v>2018</v>
      </c>
      <c r="F21" s="110">
        <v>2019</v>
      </c>
      <c r="G21" s="110">
        <v>2020</v>
      </c>
      <c r="H21" s="110">
        <v>2021</v>
      </c>
      <c r="I21" s="110">
        <v>2022</v>
      </c>
      <c r="J21" s="110">
        <v>2023</v>
      </c>
      <c r="K21" s="110">
        <v>2024</v>
      </c>
      <c r="L21" s="123"/>
      <c r="M21" s="324" t="s">
        <v>764</v>
      </c>
      <c r="N21" s="324" t="s">
        <v>765</v>
      </c>
      <c r="O21" s="324" t="s">
        <v>766</v>
      </c>
      <c r="P21" s="586" t="s">
        <v>767</v>
      </c>
      <c r="Q21" s="324" t="s">
        <v>768</v>
      </c>
      <c r="R21" s="324" t="s">
        <v>730</v>
      </c>
      <c r="S21" s="324" t="s">
        <v>731</v>
      </c>
      <c r="T21" s="586" t="s">
        <v>732</v>
      </c>
      <c r="U21" s="324" t="s">
        <v>733</v>
      </c>
      <c r="V21" s="324" t="s">
        <v>626</v>
      </c>
      <c r="W21" s="324" t="s">
        <v>620</v>
      </c>
      <c r="X21" s="586" t="s">
        <v>619</v>
      </c>
      <c r="Y21" s="324" t="s">
        <v>614</v>
      </c>
      <c r="Z21" s="324" t="s">
        <v>604</v>
      </c>
      <c r="AA21" s="324" t="s">
        <v>589</v>
      </c>
      <c r="AB21" s="586" t="s">
        <v>587</v>
      </c>
      <c r="AC21" s="324" t="s">
        <v>504</v>
      </c>
      <c r="AD21" s="324" t="s">
        <v>551</v>
      </c>
      <c r="AE21" s="324" t="s">
        <v>532</v>
      </c>
      <c r="AF21" s="586" t="s">
        <v>530</v>
      </c>
      <c r="AG21" s="324" t="s">
        <v>803</v>
      </c>
      <c r="AH21" s="324" t="s">
        <v>812</v>
      </c>
      <c r="AI21" s="324" t="s">
        <v>816</v>
      </c>
      <c r="AJ21" s="586" t="s">
        <v>835</v>
      </c>
      <c r="AK21" s="324" t="s">
        <v>872</v>
      </c>
      <c r="AL21" s="324" t="s">
        <v>986</v>
      </c>
      <c r="AM21" s="324" t="s">
        <v>1016</v>
      </c>
      <c r="AN21" s="586" t="s">
        <v>1039</v>
      </c>
      <c r="AO21" s="324" t="s">
        <v>1076</v>
      </c>
      <c r="AP21" s="324" t="s">
        <v>1285</v>
      </c>
    </row>
    <row r="22" spans="1:42">
      <c r="A22" s="111" t="s">
        <v>739</v>
      </c>
      <c r="B22" s="112">
        <v>10200</v>
      </c>
      <c r="C22" s="112">
        <v>9099</v>
      </c>
      <c r="D22" s="112">
        <v>11263</v>
      </c>
      <c r="E22" s="112">
        <v>13968</v>
      </c>
      <c r="F22" s="112">
        <v>15302</v>
      </c>
      <c r="G22" s="112">
        <v>13704</v>
      </c>
      <c r="H22" s="112">
        <v>15453</v>
      </c>
      <c r="I22" s="112">
        <v>19019</v>
      </c>
      <c r="J22" s="112">
        <v>23146</v>
      </c>
      <c r="K22" s="112">
        <v>22946</v>
      </c>
      <c r="L22" s="112"/>
      <c r="M22" s="112">
        <v>3007</v>
      </c>
      <c r="N22" s="112">
        <v>3568</v>
      </c>
      <c r="O22" s="112">
        <v>3556</v>
      </c>
      <c r="P22" s="195">
        <v>3837</v>
      </c>
      <c r="Q22" s="112">
        <v>3596</v>
      </c>
      <c r="R22" s="112">
        <v>4076</v>
      </c>
      <c r="S22" s="112">
        <v>3727</v>
      </c>
      <c r="T22" s="195">
        <v>3903</v>
      </c>
      <c r="U22" s="112">
        <v>3563</v>
      </c>
      <c r="V22" s="112">
        <v>3149</v>
      </c>
      <c r="W22" s="112">
        <v>3255</v>
      </c>
      <c r="X22" s="195">
        <v>3737</v>
      </c>
      <c r="Y22" s="112">
        <v>3340</v>
      </c>
      <c r="Z22" s="112">
        <v>3835</v>
      </c>
      <c r="AA22" s="112">
        <v>3967</v>
      </c>
      <c r="AB22" s="195">
        <v>4311</v>
      </c>
      <c r="AC22" s="112">
        <v>4257</v>
      </c>
      <c r="AD22" s="112">
        <v>4055</v>
      </c>
      <c r="AE22" s="112">
        <v>4913</v>
      </c>
      <c r="AF22" s="195">
        <v>5794</v>
      </c>
      <c r="AG22" s="112">
        <v>5596</v>
      </c>
      <c r="AH22" s="112">
        <v>6023</v>
      </c>
      <c r="AI22" s="112">
        <v>5779</v>
      </c>
      <c r="AJ22" s="195">
        <v>5748</v>
      </c>
      <c r="AK22" s="112">
        <v>5182</v>
      </c>
      <c r="AL22" s="112">
        <v>5949</v>
      </c>
      <c r="AM22" s="112">
        <v>5825</v>
      </c>
      <c r="AN22" s="195">
        <v>5990</v>
      </c>
      <c r="AO22" s="112">
        <v>6140</v>
      </c>
      <c r="AP22" s="112">
        <v>5671</v>
      </c>
    </row>
    <row r="23" spans="1:42">
      <c r="A23" s="111" t="s">
        <v>264</v>
      </c>
      <c r="B23" s="112">
        <v>28663</v>
      </c>
      <c r="C23" s="112">
        <v>27102</v>
      </c>
      <c r="D23" s="112">
        <v>31364</v>
      </c>
      <c r="E23" s="112">
        <v>38285</v>
      </c>
      <c r="F23" s="112">
        <v>40849</v>
      </c>
      <c r="G23" s="112">
        <v>36122</v>
      </c>
      <c r="H23" s="112">
        <v>39645</v>
      </c>
      <c r="I23" s="112">
        <v>49694</v>
      </c>
      <c r="J23" s="112">
        <v>60343</v>
      </c>
      <c r="K23" s="112">
        <v>63604</v>
      </c>
      <c r="L23" s="112"/>
      <c r="M23" s="112">
        <v>8233</v>
      </c>
      <c r="N23" s="112">
        <v>9843</v>
      </c>
      <c r="O23" s="112">
        <v>9651</v>
      </c>
      <c r="P23" s="195">
        <v>10558</v>
      </c>
      <c r="Q23" s="112">
        <v>9785</v>
      </c>
      <c r="R23" s="112">
        <v>10626</v>
      </c>
      <c r="S23" s="112">
        <v>10158</v>
      </c>
      <c r="T23" s="195">
        <v>10280</v>
      </c>
      <c r="U23" s="112">
        <v>9134</v>
      </c>
      <c r="V23" s="112">
        <v>8458</v>
      </c>
      <c r="W23" s="112">
        <v>8724</v>
      </c>
      <c r="X23" s="195">
        <v>9806</v>
      </c>
      <c r="Y23" s="112">
        <v>8773</v>
      </c>
      <c r="Z23" s="112">
        <v>9733</v>
      </c>
      <c r="AA23" s="112">
        <v>9966</v>
      </c>
      <c r="AB23" s="195">
        <v>11173</v>
      </c>
      <c r="AC23" s="112">
        <v>11088</v>
      </c>
      <c r="AD23" s="112">
        <v>11868</v>
      </c>
      <c r="AE23" s="112">
        <v>12802</v>
      </c>
      <c r="AF23" s="195">
        <v>13936</v>
      </c>
      <c r="AG23" s="112">
        <v>13868</v>
      </c>
      <c r="AH23" s="112">
        <v>15910</v>
      </c>
      <c r="AI23" s="112">
        <v>14997</v>
      </c>
      <c r="AJ23" s="195">
        <v>15568</v>
      </c>
      <c r="AK23" s="112">
        <v>14143</v>
      </c>
      <c r="AL23" s="112">
        <v>16511</v>
      </c>
      <c r="AM23" s="112">
        <v>15699</v>
      </c>
      <c r="AN23" s="195">
        <v>17251</v>
      </c>
      <c r="AO23" s="112">
        <v>15536</v>
      </c>
      <c r="AP23" s="112">
        <v>15130</v>
      </c>
    </row>
    <row r="24" spans="1:42" ht="10.5">
      <c r="A24" s="113" t="s">
        <v>140</v>
      </c>
      <c r="B24" s="114" t="s">
        <v>141</v>
      </c>
      <c r="C24" s="118" t="s">
        <v>142</v>
      </c>
      <c r="D24" s="118" t="s">
        <v>143</v>
      </c>
      <c r="E24" s="118">
        <v>36.484262766096379</v>
      </c>
      <c r="F24" s="118">
        <v>37.45991333937183</v>
      </c>
      <c r="G24" s="118">
        <v>37.9</v>
      </c>
      <c r="H24" s="118">
        <v>39</v>
      </c>
      <c r="I24" s="118">
        <v>38.299999999999997</v>
      </c>
      <c r="J24" s="118">
        <v>38.4</v>
      </c>
      <c r="K24" s="118">
        <v>36.1</v>
      </c>
      <c r="L24" s="119"/>
      <c r="M24" s="118">
        <v>36.523745900643753</v>
      </c>
      <c r="N24" s="118">
        <v>36.249111043381085</v>
      </c>
      <c r="O24" s="118">
        <v>36.845922702310638</v>
      </c>
      <c r="P24" s="199">
        <v>36.342110248153062</v>
      </c>
      <c r="Q24" s="118">
        <v>36.750127746550845</v>
      </c>
      <c r="R24" s="118">
        <v>38.35874270656879</v>
      </c>
      <c r="S24" s="118">
        <v>36.690293364835597</v>
      </c>
      <c r="T24" s="199">
        <v>37.966926070038909</v>
      </c>
      <c r="U24" s="118">
        <v>39</v>
      </c>
      <c r="V24" s="118">
        <v>37.231023882714595</v>
      </c>
      <c r="W24" s="118">
        <v>37.310866574965615</v>
      </c>
      <c r="X24" s="199">
        <v>38.109320823985314</v>
      </c>
      <c r="Y24" s="118">
        <v>38.071355294654055</v>
      </c>
      <c r="Z24" s="118">
        <v>39.4</v>
      </c>
      <c r="AA24" s="118">
        <v>39.805338149709016</v>
      </c>
      <c r="AB24" s="199">
        <v>38.584086637429515</v>
      </c>
      <c r="AC24" s="118">
        <v>38.392857142857146</v>
      </c>
      <c r="AD24" s="118">
        <v>34.167509268621501</v>
      </c>
      <c r="AE24" s="118">
        <v>38.376816122480861</v>
      </c>
      <c r="AF24" s="199">
        <v>41.575774971297356</v>
      </c>
      <c r="AG24" s="118">
        <v>40.351889241419094</v>
      </c>
      <c r="AH24" s="118">
        <v>37.9</v>
      </c>
      <c r="AI24" s="118">
        <v>38.534373541374947</v>
      </c>
      <c r="AJ24" s="199">
        <v>36.921891058581707</v>
      </c>
      <c r="AK24" s="118">
        <v>36.640033939051122</v>
      </c>
      <c r="AL24" s="118">
        <v>36.030525104475799</v>
      </c>
      <c r="AM24" s="118">
        <v>37.104274157589657</v>
      </c>
      <c r="AN24" s="199">
        <v>34.722624775375337</v>
      </c>
      <c r="AO24" s="118">
        <v>40</v>
      </c>
      <c r="AP24" s="118">
        <v>37.481824190350302</v>
      </c>
    </row>
    <row r="25" spans="1:42">
      <c r="A25" s="51" t="s">
        <v>133</v>
      </c>
      <c r="B25" s="107"/>
      <c r="C25" s="107"/>
      <c r="D25" s="317"/>
      <c r="E25" s="107"/>
      <c r="F25" s="107"/>
      <c r="G25" s="107"/>
      <c r="H25" s="107"/>
      <c r="I25" s="107"/>
      <c r="J25" s="107"/>
      <c r="K25" s="107"/>
      <c r="L25" s="107"/>
      <c r="M25" s="107"/>
      <c r="N25" s="107"/>
      <c r="O25" s="107"/>
      <c r="P25" s="194"/>
      <c r="Q25" s="107"/>
      <c r="R25" s="107"/>
      <c r="S25" s="107"/>
      <c r="T25" s="194"/>
      <c r="U25" s="107"/>
      <c r="V25" s="107"/>
      <c r="W25" s="107"/>
      <c r="X25" s="194"/>
      <c r="Y25" s="107"/>
      <c r="Z25" s="107"/>
      <c r="AA25" s="107"/>
      <c r="AB25" s="194"/>
      <c r="AC25" s="107"/>
      <c r="AD25" s="107"/>
      <c r="AE25" s="107"/>
      <c r="AF25" s="194"/>
      <c r="AG25" s="107"/>
      <c r="AH25" s="107"/>
      <c r="AI25" s="107"/>
      <c r="AJ25" s="194"/>
      <c r="AK25" s="107"/>
      <c r="AL25" s="107"/>
      <c r="AM25" s="107"/>
      <c r="AN25" s="194"/>
      <c r="AO25" s="107"/>
      <c r="AP25" s="107"/>
    </row>
    <row r="26" spans="1:42">
      <c r="A26" s="107"/>
      <c r="B26" s="107"/>
      <c r="C26" s="107"/>
      <c r="D26" s="317"/>
      <c r="E26" s="107"/>
      <c r="F26" s="107"/>
      <c r="G26" s="107"/>
      <c r="H26" s="107"/>
      <c r="I26" s="107"/>
      <c r="J26" s="107"/>
      <c r="K26" s="107"/>
      <c r="L26" s="107"/>
      <c r="M26" s="107"/>
      <c r="N26" s="107"/>
      <c r="O26" s="107"/>
      <c r="P26" s="194"/>
      <c r="Q26" s="107"/>
      <c r="R26" s="107"/>
      <c r="S26" s="107"/>
      <c r="T26" s="194"/>
      <c r="U26" s="107"/>
      <c r="V26" s="107"/>
      <c r="W26" s="107"/>
      <c r="X26" s="194"/>
      <c r="Y26" s="107"/>
      <c r="Z26" s="107"/>
      <c r="AA26" s="107"/>
      <c r="AB26" s="194"/>
      <c r="AC26" s="107"/>
      <c r="AD26" s="107"/>
      <c r="AE26" s="107"/>
      <c r="AF26" s="194"/>
      <c r="AG26" s="107"/>
      <c r="AH26" s="107"/>
      <c r="AI26" s="107"/>
      <c r="AJ26" s="194"/>
      <c r="AK26" s="107"/>
      <c r="AL26" s="107"/>
      <c r="AM26" s="107"/>
      <c r="AN26" s="194"/>
      <c r="AO26" s="107"/>
      <c r="AP26" s="107"/>
    </row>
    <row r="27" spans="1:42" ht="12.5">
      <c r="A27" s="585" t="s">
        <v>144</v>
      </c>
      <c r="B27" s="110">
        <v>2015</v>
      </c>
      <c r="C27" s="110">
        <v>2016</v>
      </c>
      <c r="D27" s="110" t="s">
        <v>229</v>
      </c>
      <c r="E27" s="110">
        <v>2018</v>
      </c>
      <c r="F27" s="110">
        <v>2019</v>
      </c>
      <c r="G27" s="110">
        <v>2020</v>
      </c>
      <c r="H27" s="110">
        <v>2021</v>
      </c>
      <c r="I27" s="110">
        <v>2022</v>
      </c>
      <c r="J27" s="110">
        <v>2023</v>
      </c>
      <c r="K27" s="110">
        <v>2024</v>
      </c>
      <c r="L27" s="123"/>
      <c r="M27" s="324" t="s">
        <v>764</v>
      </c>
      <c r="N27" s="324" t="s">
        <v>765</v>
      </c>
      <c r="O27" s="324" t="s">
        <v>766</v>
      </c>
      <c r="P27" s="586" t="s">
        <v>767</v>
      </c>
      <c r="Q27" s="324" t="s">
        <v>768</v>
      </c>
      <c r="R27" s="324" t="s">
        <v>730</v>
      </c>
      <c r="S27" s="324" t="s">
        <v>731</v>
      </c>
      <c r="T27" s="586" t="s">
        <v>732</v>
      </c>
      <c r="U27" s="324" t="s">
        <v>733</v>
      </c>
      <c r="V27" s="324" t="s">
        <v>626</v>
      </c>
      <c r="W27" s="324" t="s">
        <v>620</v>
      </c>
      <c r="X27" s="586" t="s">
        <v>619</v>
      </c>
      <c r="Y27" s="324" t="s">
        <v>614</v>
      </c>
      <c r="Z27" s="324" t="s">
        <v>604</v>
      </c>
      <c r="AA27" s="324" t="s">
        <v>589</v>
      </c>
      <c r="AB27" s="586" t="s">
        <v>587</v>
      </c>
      <c r="AC27" s="324" t="s">
        <v>504</v>
      </c>
      <c r="AD27" s="324" t="s">
        <v>551</v>
      </c>
      <c r="AE27" s="324" t="s">
        <v>532</v>
      </c>
      <c r="AF27" s="586" t="s">
        <v>530</v>
      </c>
      <c r="AG27" s="324" t="s">
        <v>803</v>
      </c>
      <c r="AH27" s="324" t="s">
        <v>812</v>
      </c>
      <c r="AI27" s="324" t="s">
        <v>816</v>
      </c>
      <c r="AJ27" s="586" t="s">
        <v>835</v>
      </c>
      <c r="AK27" s="324" t="s">
        <v>872</v>
      </c>
      <c r="AL27" s="324" t="s">
        <v>986</v>
      </c>
      <c r="AM27" s="324" t="s">
        <v>1016</v>
      </c>
      <c r="AN27" s="586" t="s">
        <v>1039</v>
      </c>
      <c r="AO27" s="324" t="s">
        <v>1076</v>
      </c>
      <c r="AP27" s="324" t="s">
        <v>1285</v>
      </c>
    </row>
    <row r="28" spans="1:42">
      <c r="A28" s="111" t="s">
        <v>740</v>
      </c>
      <c r="B28" s="112">
        <v>5175</v>
      </c>
      <c r="C28" s="112">
        <v>4548</v>
      </c>
      <c r="D28" s="112">
        <v>5930</v>
      </c>
      <c r="E28" s="112">
        <v>7385</v>
      </c>
      <c r="F28" s="112">
        <v>8136</v>
      </c>
      <c r="G28" s="112">
        <v>7382</v>
      </c>
      <c r="H28" s="112">
        <v>8995</v>
      </c>
      <c r="I28" s="112">
        <v>11147</v>
      </c>
      <c r="J28" s="112">
        <v>13183</v>
      </c>
      <c r="K28" s="112">
        <v>12385</v>
      </c>
      <c r="L28" s="112"/>
      <c r="M28" s="112">
        <v>1515</v>
      </c>
      <c r="N28" s="112">
        <v>1810</v>
      </c>
      <c r="O28" s="112">
        <v>1898</v>
      </c>
      <c r="P28" s="195">
        <v>2162</v>
      </c>
      <c r="Q28" s="112">
        <v>1930</v>
      </c>
      <c r="R28" s="112">
        <v>2262.5304182700002</v>
      </c>
      <c r="S28" s="112">
        <v>1927.4103993842</v>
      </c>
      <c r="T28" s="195">
        <v>2016.060167183</v>
      </c>
      <c r="U28" s="112">
        <v>1932</v>
      </c>
      <c r="V28" s="112">
        <v>1418</v>
      </c>
      <c r="W28" s="112">
        <v>1820</v>
      </c>
      <c r="X28" s="195">
        <v>2212</v>
      </c>
      <c r="Y28" s="112">
        <v>1867</v>
      </c>
      <c r="Z28" s="112">
        <v>2182</v>
      </c>
      <c r="AA28" s="112">
        <v>2352</v>
      </c>
      <c r="AB28" s="195">
        <v>2594</v>
      </c>
      <c r="AC28" s="112">
        <v>2631</v>
      </c>
      <c r="AD28" s="112">
        <v>2381</v>
      </c>
      <c r="AE28" s="112">
        <v>2900</v>
      </c>
      <c r="AF28" s="195">
        <v>3235</v>
      </c>
      <c r="AG28" s="112">
        <v>3161</v>
      </c>
      <c r="AH28" s="112">
        <v>3413</v>
      </c>
      <c r="AI28" s="112">
        <v>3260</v>
      </c>
      <c r="AJ28" s="195">
        <v>3349</v>
      </c>
      <c r="AK28" s="112">
        <v>2760</v>
      </c>
      <c r="AL28" s="112">
        <v>2921</v>
      </c>
      <c r="AM28" s="112">
        <v>3277</v>
      </c>
      <c r="AN28" s="195">
        <v>3427</v>
      </c>
      <c r="AO28" s="112">
        <v>3088</v>
      </c>
      <c r="AP28" s="112">
        <v>2831</v>
      </c>
    </row>
    <row r="29" spans="1:42">
      <c r="A29" s="111" t="s">
        <v>264</v>
      </c>
      <c r="B29" s="112">
        <v>28663</v>
      </c>
      <c r="C29" s="112">
        <v>27102</v>
      </c>
      <c r="D29" s="112">
        <v>31364</v>
      </c>
      <c r="E29" s="112">
        <v>38285</v>
      </c>
      <c r="F29" s="112">
        <v>40849</v>
      </c>
      <c r="G29" s="112">
        <v>36122</v>
      </c>
      <c r="H29" s="112">
        <v>39645</v>
      </c>
      <c r="I29" s="112">
        <v>49694</v>
      </c>
      <c r="J29" s="112">
        <v>60343</v>
      </c>
      <c r="K29" s="112">
        <v>63604</v>
      </c>
      <c r="L29" s="112"/>
      <c r="M29" s="112">
        <v>8233</v>
      </c>
      <c r="N29" s="112">
        <v>9843</v>
      </c>
      <c r="O29" s="112">
        <v>9651</v>
      </c>
      <c r="P29" s="195">
        <v>10558</v>
      </c>
      <c r="Q29" s="112">
        <v>9785</v>
      </c>
      <c r="R29" s="112">
        <v>10626</v>
      </c>
      <c r="S29" s="112">
        <v>10158</v>
      </c>
      <c r="T29" s="195">
        <v>10280</v>
      </c>
      <c r="U29" s="112">
        <v>9134</v>
      </c>
      <c r="V29" s="112">
        <v>8458</v>
      </c>
      <c r="W29" s="112">
        <v>8724</v>
      </c>
      <c r="X29" s="195">
        <v>9806</v>
      </c>
      <c r="Y29" s="112">
        <v>8773</v>
      </c>
      <c r="Z29" s="112">
        <v>9733</v>
      </c>
      <c r="AA29" s="112">
        <v>9966</v>
      </c>
      <c r="AB29" s="195">
        <v>11173</v>
      </c>
      <c r="AC29" s="112">
        <v>11088</v>
      </c>
      <c r="AD29" s="112">
        <v>11868</v>
      </c>
      <c r="AE29" s="112">
        <v>12802</v>
      </c>
      <c r="AF29" s="195">
        <v>13936</v>
      </c>
      <c r="AG29" s="112">
        <v>13868</v>
      </c>
      <c r="AH29" s="112">
        <v>15910</v>
      </c>
      <c r="AI29" s="112">
        <v>14997</v>
      </c>
      <c r="AJ29" s="195">
        <v>15568</v>
      </c>
      <c r="AK29" s="112">
        <v>14143</v>
      </c>
      <c r="AL29" s="112">
        <v>16511</v>
      </c>
      <c r="AM29" s="112">
        <v>15699</v>
      </c>
      <c r="AN29" s="195">
        <v>17251</v>
      </c>
      <c r="AO29" s="112">
        <v>15536</v>
      </c>
      <c r="AP29" s="112">
        <v>15130</v>
      </c>
    </row>
    <row r="30" spans="1:42" ht="10.5">
      <c r="A30" s="113" t="s">
        <v>69</v>
      </c>
      <c r="B30" s="114">
        <v>18.100000000000001</v>
      </c>
      <c r="C30" s="118">
        <v>16.8</v>
      </c>
      <c r="D30" s="118">
        <v>18.899999999999999</v>
      </c>
      <c r="E30" s="118">
        <v>19.3</v>
      </c>
      <c r="F30" s="118">
        <v>19.899999999999999</v>
      </c>
      <c r="G30" s="118">
        <v>20.399999999999999</v>
      </c>
      <c r="H30" s="118">
        <v>22.7</v>
      </c>
      <c r="I30" s="118">
        <v>22.4</v>
      </c>
      <c r="J30" s="118">
        <v>21.8</v>
      </c>
      <c r="K30" s="118">
        <v>19.5</v>
      </c>
      <c r="L30" s="119"/>
      <c r="M30" s="118">
        <v>18.401554718814527</v>
      </c>
      <c r="N30" s="118">
        <v>18.388702631311592</v>
      </c>
      <c r="O30" s="118">
        <v>19.666355818049944</v>
      </c>
      <c r="P30" s="199">
        <v>20.477363136957756</v>
      </c>
      <c r="Q30" s="118">
        <v>19.724067450178843</v>
      </c>
      <c r="R30" s="118">
        <v>21.292399946075665</v>
      </c>
      <c r="S30" s="118">
        <v>18.974309897462099</v>
      </c>
      <c r="T30" s="199">
        <v>19.611480225515564</v>
      </c>
      <c r="U30" s="118">
        <v>21.2</v>
      </c>
      <c r="V30" s="118">
        <v>16.765192716954363</v>
      </c>
      <c r="W30" s="118">
        <v>20.861989912883999</v>
      </c>
      <c r="X30" s="199">
        <v>22.557617785029574</v>
      </c>
      <c r="Y30" s="118">
        <v>21.281203693149436</v>
      </c>
      <c r="Z30" s="118">
        <v>22.4</v>
      </c>
      <c r="AA30" s="118">
        <v>23.600240818783867</v>
      </c>
      <c r="AB30" s="199">
        <v>23.21668307527074</v>
      </c>
      <c r="AC30" s="118">
        <v>23.728354978354979</v>
      </c>
      <c r="AD30" s="118">
        <v>20.062352544657905</v>
      </c>
      <c r="AE30" s="118">
        <v>22.652710513982193</v>
      </c>
      <c r="AF30" s="199">
        <v>23.213260619977039</v>
      </c>
      <c r="AG30" s="118">
        <v>22.793481396019612</v>
      </c>
      <c r="AH30" s="118">
        <v>21.5</v>
      </c>
      <c r="AI30" s="118">
        <v>21.737680869507233</v>
      </c>
      <c r="AJ30" s="199">
        <v>21.512076053442961</v>
      </c>
      <c r="AK30" s="118">
        <v>19.514954394400057</v>
      </c>
      <c r="AL30" s="118">
        <v>17.691236145599902</v>
      </c>
      <c r="AM30" s="118">
        <v>20.873941015351296</v>
      </c>
      <c r="AN30" s="199">
        <v>19.865515042606223</v>
      </c>
      <c r="AO30" s="118">
        <v>19.899999999999999</v>
      </c>
      <c r="AP30" s="118">
        <v>18.711169861202908</v>
      </c>
    </row>
    <row r="31" spans="1:42">
      <c r="A31" s="51" t="s">
        <v>133</v>
      </c>
      <c r="B31" s="107"/>
      <c r="C31" s="107"/>
      <c r="D31" s="317"/>
      <c r="E31" s="107"/>
      <c r="F31" s="107"/>
      <c r="G31" s="107"/>
      <c r="H31" s="107"/>
      <c r="I31" s="107"/>
      <c r="J31" s="107"/>
      <c r="K31" s="107"/>
      <c r="L31" s="107"/>
      <c r="M31" s="107"/>
      <c r="N31" s="107"/>
      <c r="O31" s="107"/>
      <c r="P31" s="194"/>
      <c r="Q31" s="107"/>
      <c r="R31" s="107"/>
      <c r="S31" s="107"/>
      <c r="T31" s="194"/>
      <c r="U31" s="107"/>
      <c r="V31" s="107"/>
      <c r="W31" s="107"/>
      <c r="X31" s="194"/>
      <c r="Y31" s="107"/>
      <c r="Z31" s="107"/>
      <c r="AA31" s="107"/>
      <c r="AB31" s="194"/>
      <c r="AC31" s="107"/>
      <c r="AD31" s="107"/>
      <c r="AE31" s="107"/>
      <c r="AF31" s="194"/>
      <c r="AG31" s="107"/>
      <c r="AH31" s="107"/>
      <c r="AI31" s="107"/>
      <c r="AJ31" s="194"/>
      <c r="AK31" s="107"/>
      <c r="AL31" s="107"/>
      <c r="AM31" s="107"/>
      <c r="AN31" s="194"/>
      <c r="AO31" s="107"/>
      <c r="AP31" s="107"/>
    </row>
    <row r="32" spans="1:42">
      <c r="A32" s="107"/>
      <c r="B32" s="107"/>
      <c r="C32" s="107"/>
      <c r="D32" s="317"/>
      <c r="E32" s="107"/>
      <c r="F32" s="107"/>
      <c r="G32" s="107"/>
      <c r="H32" s="107"/>
      <c r="I32" s="107"/>
      <c r="J32" s="107"/>
      <c r="K32" s="107"/>
      <c r="L32" s="107"/>
      <c r="M32" s="107"/>
      <c r="N32" s="107"/>
      <c r="O32" s="107"/>
      <c r="P32" s="194"/>
      <c r="Q32" s="107"/>
      <c r="R32" s="107"/>
      <c r="S32" s="107"/>
      <c r="T32" s="194"/>
      <c r="U32" s="107"/>
      <c r="V32" s="107"/>
      <c r="W32" s="107"/>
      <c r="X32" s="194"/>
      <c r="Y32" s="107"/>
      <c r="Z32" s="107"/>
      <c r="AA32" s="107"/>
      <c r="AB32" s="194"/>
      <c r="AC32" s="107"/>
      <c r="AD32" s="107"/>
      <c r="AE32" s="107"/>
      <c r="AF32" s="194"/>
      <c r="AG32" s="107"/>
      <c r="AH32" s="107"/>
      <c r="AI32" s="107"/>
      <c r="AJ32" s="194"/>
      <c r="AK32" s="107"/>
      <c r="AL32" s="107"/>
      <c r="AM32" s="107"/>
      <c r="AN32" s="194"/>
      <c r="AO32" s="107"/>
      <c r="AP32" s="107"/>
    </row>
    <row r="33" spans="1:42" ht="12.5">
      <c r="A33" s="585" t="s">
        <v>741</v>
      </c>
      <c r="B33" s="110"/>
      <c r="C33" s="110"/>
      <c r="D33" s="110"/>
      <c r="E33" s="110">
        <v>2018</v>
      </c>
      <c r="F33" s="110" t="s">
        <v>230</v>
      </c>
      <c r="G33" s="110" t="s">
        <v>231</v>
      </c>
      <c r="H33" s="110" t="s">
        <v>396</v>
      </c>
      <c r="I33" s="110" t="s">
        <v>462</v>
      </c>
      <c r="J33" s="110" t="s">
        <v>853</v>
      </c>
      <c r="K33" s="110" t="s">
        <v>1042</v>
      </c>
      <c r="L33" s="123"/>
      <c r="M33" s="324" t="s">
        <v>764</v>
      </c>
      <c r="N33" s="324" t="s">
        <v>765</v>
      </c>
      <c r="O33" s="324" t="s">
        <v>766</v>
      </c>
      <c r="P33" s="586" t="s">
        <v>767</v>
      </c>
      <c r="Q33" s="324" t="s">
        <v>768</v>
      </c>
      <c r="R33" s="324" t="s">
        <v>730</v>
      </c>
      <c r="S33" s="324" t="s">
        <v>731</v>
      </c>
      <c r="T33" s="586" t="s">
        <v>732</v>
      </c>
      <c r="U33" s="324" t="s">
        <v>733</v>
      </c>
      <c r="V33" s="324" t="s">
        <v>626</v>
      </c>
      <c r="W33" s="324" t="s">
        <v>620</v>
      </c>
      <c r="X33" s="586" t="s">
        <v>619</v>
      </c>
      <c r="Y33" s="324" t="s">
        <v>614</v>
      </c>
      <c r="Z33" s="324" t="s">
        <v>604</v>
      </c>
      <c r="AA33" s="324" t="s">
        <v>589</v>
      </c>
      <c r="AB33" s="586" t="s">
        <v>587</v>
      </c>
      <c r="AC33" s="324" t="s">
        <v>504</v>
      </c>
      <c r="AD33" s="324" t="s">
        <v>551</v>
      </c>
      <c r="AE33" s="324" t="s">
        <v>532</v>
      </c>
      <c r="AF33" s="586" t="s">
        <v>530</v>
      </c>
      <c r="AG33" s="324" t="s">
        <v>803</v>
      </c>
      <c r="AH33" s="324" t="s">
        <v>812</v>
      </c>
      <c r="AI33" s="324" t="s">
        <v>816</v>
      </c>
      <c r="AJ33" s="586" t="s">
        <v>835</v>
      </c>
      <c r="AK33" s="324" t="s">
        <v>872</v>
      </c>
      <c r="AL33" s="324" t="s">
        <v>986</v>
      </c>
      <c r="AM33" s="324" t="s">
        <v>1016</v>
      </c>
      <c r="AN33" s="586" t="s">
        <v>1039</v>
      </c>
      <c r="AO33" s="324" t="s">
        <v>1076</v>
      </c>
      <c r="AP33" s="324" t="s">
        <v>1285</v>
      </c>
    </row>
    <row r="34" spans="1:42">
      <c r="A34" s="107" t="s">
        <v>6</v>
      </c>
      <c r="B34" s="112"/>
      <c r="C34" s="116"/>
      <c r="D34" s="112"/>
      <c r="E34" s="116">
        <v>7385</v>
      </c>
      <c r="F34" s="116">
        <v>8136</v>
      </c>
      <c r="G34" s="116">
        <v>7382</v>
      </c>
      <c r="H34" s="116">
        <v>8995</v>
      </c>
      <c r="I34" s="116">
        <v>11147</v>
      </c>
      <c r="J34" s="116">
        <v>13183</v>
      </c>
      <c r="K34" s="116">
        <v>12385</v>
      </c>
      <c r="L34" s="112"/>
      <c r="M34" s="116">
        <v>1515</v>
      </c>
      <c r="N34" s="116">
        <v>1810</v>
      </c>
      <c r="O34" s="116">
        <v>1898</v>
      </c>
      <c r="P34" s="195">
        <v>2162</v>
      </c>
      <c r="Q34" s="116">
        <v>1930</v>
      </c>
      <c r="R34" s="116">
        <v>2262.5304182700002</v>
      </c>
      <c r="S34" s="116">
        <v>1927.4103993842</v>
      </c>
      <c r="T34" s="195">
        <v>2016.060167183</v>
      </c>
      <c r="U34" s="116">
        <v>1932</v>
      </c>
      <c r="V34" s="116">
        <v>1418</v>
      </c>
      <c r="W34" s="116">
        <v>1820</v>
      </c>
      <c r="X34" s="195">
        <v>2212</v>
      </c>
      <c r="Y34" s="116">
        <v>1867</v>
      </c>
      <c r="Z34" s="116">
        <v>2182</v>
      </c>
      <c r="AA34" s="116">
        <v>2352</v>
      </c>
      <c r="AB34" s="195">
        <v>2594</v>
      </c>
      <c r="AC34" s="116">
        <v>2631</v>
      </c>
      <c r="AD34" s="116">
        <v>2381</v>
      </c>
      <c r="AE34" s="116">
        <v>2900</v>
      </c>
      <c r="AF34" s="195">
        <v>3235</v>
      </c>
      <c r="AG34" s="116">
        <v>3161</v>
      </c>
      <c r="AH34" s="116">
        <v>3413</v>
      </c>
      <c r="AI34" s="116">
        <v>3260</v>
      </c>
      <c r="AJ34" s="195">
        <v>3349</v>
      </c>
      <c r="AK34" s="116">
        <v>2760</v>
      </c>
      <c r="AL34" s="116">
        <v>2921</v>
      </c>
      <c r="AM34" s="116">
        <v>3277</v>
      </c>
      <c r="AN34" s="195">
        <v>3427</v>
      </c>
      <c r="AO34" s="116">
        <v>3088</v>
      </c>
      <c r="AP34" s="116">
        <v>2831</v>
      </c>
    </row>
    <row r="35" spans="1:42">
      <c r="A35" s="120" t="s">
        <v>181</v>
      </c>
      <c r="B35" s="112"/>
      <c r="C35" s="111"/>
      <c r="D35" s="121"/>
      <c r="E35" s="111">
        <v>66</v>
      </c>
      <c r="F35" s="111">
        <v>194</v>
      </c>
      <c r="G35" s="111">
        <v>99</v>
      </c>
      <c r="H35" s="111">
        <v>270</v>
      </c>
      <c r="I35" s="111">
        <v>-37</v>
      </c>
      <c r="J35" s="111">
        <v>63</v>
      </c>
      <c r="K35" s="111">
        <v>0</v>
      </c>
      <c r="L35" s="112"/>
      <c r="M35" s="111">
        <v>0</v>
      </c>
      <c r="N35" s="111">
        <v>77</v>
      </c>
      <c r="O35" s="111">
        <v>56</v>
      </c>
      <c r="P35" s="195">
        <v>-67</v>
      </c>
      <c r="Q35" s="111">
        <v>59</v>
      </c>
      <c r="R35" s="111">
        <v>39</v>
      </c>
      <c r="S35" s="111">
        <v>54</v>
      </c>
      <c r="T35" s="195">
        <v>42</v>
      </c>
      <c r="U35" s="111">
        <v>-65</v>
      </c>
      <c r="V35" s="111">
        <v>91</v>
      </c>
      <c r="W35" s="111">
        <v>21</v>
      </c>
      <c r="X35" s="195">
        <v>52</v>
      </c>
      <c r="Y35" s="111">
        <v>149</v>
      </c>
      <c r="Z35" s="111">
        <v>15</v>
      </c>
      <c r="AA35" s="111">
        <v>-21</v>
      </c>
      <c r="AB35" s="195">
        <v>127</v>
      </c>
      <c r="AC35" s="111">
        <v>-43</v>
      </c>
      <c r="AD35" s="111">
        <v>-75</v>
      </c>
      <c r="AE35" s="111">
        <v>14</v>
      </c>
      <c r="AF35" s="195">
        <v>67</v>
      </c>
      <c r="AG35" s="111">
        <v>26</v>
      </c>
      <c r="AH35" s="111">
        <v>16</v>
      </c>
      <c r="AI35" s="111">
        <v>19</v>
      </c>
      <c r="AJ35" s="195">
        <v>2</v>
      </c>
      <c r="AK35" s="111">
        <v>2</v>
      </c>
      <c r="AL35" s="111">
        <v>18</v>
      </c>
      <c r="AM35" s="111">
        <v>17</v>
      </c>
      <c r="AN35" s="195">
        <v>-37</v>
      </c>
      <c r="AO35" s="111">
        <v>11</v>
      </c>
      <c r="AP35" s="111">
        <v>6</v>
      </c>
    </row>
    <row r="36" spans="1:42">
      <c r="A36" s="120" t="s">
        <v>216</v>
      </c>
      <c r="B36" s="112"/>
      <c r="C36" s="111"/>
      <c r="D36" s="121"/>
      <c r="E36" s="111"/>
      <c r="F36" s="111">
        <v>28</v>
      </c>
      <c r="G36" s="392" t="s">
        <v>113</v>
      </c>
      <c r="H36" s="392" t="s">
        <v>113</v>
      </c>
      <c r="I36" s="392" t="s">
        <v>113</v>
      </c>
      <c r="J36" s="392" t="s">
        <v>113</v>
      </c>
      <c r="K36" s="392" t="s">
        <v>113</v>
      </c>
      <c r="L36" s="112"/>
      <c r="M36" s="111"/>
      <c r="N36" s="111"/>
      <c r="O36" s="111"/>
      <c r="P36" s="195"/>
      <c r="Q36" s="111"/>
      <c r="R36" s="111"/>
      <c r="S36" s="111"/>
      <c r="T36" s="195">
        <v>28</v>
      </c>
      <c r="U36" s="121" t="s">
        <v>113</v>
      </c>
      <c r="V36" s="121" t="s">
        <v>113</v>
      </c>
      <c r="W36" s="121" t="s">
        <v>113</v>
      </c>
      <c r="X36" s="195" t="s">
        <v>113</v>
      </c>
      <c r="Y36" s="121" t="s">
        <v>113</v>
      </c>
      <c r="Z36" s="121" t="s">
        <v>113</v>
      </c>
      <c r="AA36" s="121" t="s">
        <v>113</v>
      </c>
      <c r="AB36" s="195" t="s">
        <v>113</v>
      </c>
      <c r="AC36" s="121" t="s">
        <v>113</v>
      </c>
      <c r="AD36" s="121" t="s">
        <v>113</v>
      </c>
      <c r="AE36" s="121" t="s">
        <v>113</v>
      </c>
      <c r="AF36" s="195" t="s">
        <v>113</v>
      </c>
      <c r="AG36" s="121" t="s">
        <v>113</v>
      </c>
      <c r="AH36" s="121" t="s">
        <v>113</v>
      </c>
      <c r="AI36" s="121" t="s">
        <v>113</v>
      </c>
      <c r="AJ36" s="195" t="s">
        <v>113</v>
      </c>
      <c r="AK36" s="121" t="s">
        <v>113</v>
      </c>
      <c r="AL36" s="121" t="s">
        <v>113</v>
      </c>
      <c r="AM36" s="121" t="s">
        <v>113</v>
      </c>
      <c r="AN36" s="195" t="s">
        <v>113</v>
      </c>
      <c r="AO36" s="121" t="s">
        <v>113</v>
      </c>
      <c r="AP36" s="121" t="s">
        <v>113</v>
      </c>
    </row>
    <row r="37" spans="1:42">
      <c r="A37" s="122" t="s">
        <v>182</v>
      </c>
      <c r="B37" s="112"/>
      <c r="C37" s="111"/>
      <c r="D37" s="121"/>
      <c r="E37" s="111">
        <v>328</v>
      </c>
      <c r="F37" s="111"/>
      <c r="G37" s="111"/>
      <c r="H37" s="392" t="s">
        <v>113</v>
      </c>
      <c r="I37" s="392" t="s">
        <v>113</v>
      </c>
      <c r="J37" s="392" t="s">
        <v>113</v>
      </c>
      <c r="K37" s="392" t="s">
        <v>113</v>
      </c>
      <c r="L37" s="112"/>
      <c r="M37" s="111">
        <v>95</v>
      </c>
      <c r="N37" s="111">
        <v>104</v>
      </c>
      <c r="O37" s="111">
        <v>70</v>
      </c>
      <c r="P37" s="200">
        <v>59</v>
      </c>
      <c r="Q37" s="111"/>
      <c r="R37" s="111"/>
      <c r="S37" s="111"/>
      <c r="T37" s="195"/>
      <c r="U37" s="121" t="s">
        <v>113</v>
      </c>
      <c r="V37" s="121" t="s">
        <v>113</v>
      </c>
      <c r="W37" s="121" t="s">
        <v>113</v>
      </c>
      <c r="X37" s="195" t="s">
        <v>113</v>
      </c>
      <c r="Y37" s="121" t="s">
        <v>113</v>
      </c>
      <c r="Z37" s="121" t="s">
        <v>113</v>
      </c>
      <c r="AA37" s="121" t="s">
        <v>113</v>
      </c>
      <c r="AB37" s="195" t="s">
        <v>113</v>
      </c>
      <c r="AC37" s="121" t="s">
        <v>113</v>
      </c>
      <c r="AD37" s="121" t="s">
        <v>113</v>
      </c>
      <c r="AE37" s="121" t="s">
        <v>113</v>
      </c>
      <c r="AF37" s="195" t="s">
        <v>113</v>
      </c>
      <c r="AG37" s="121" t="s">
        <v>113</v>
      </c>
      <c r="AH37" s="121" t="s">
        <v>113</v>
      </c>
      <c r="AI37" s="121" t="s">
        <v>113</v>
      </c>
      <c r="AJ37" s="195" t="s">
        <v>113</v>
      </c>
      <c r="AK37" s="121" t="s">
        <v>113</v>
      </c>
      <c r="AL37" s="121" t="s">
        <v>113</v>
      </c>
      <c r="AM37" s="121" t="s">
        <v>113</v>
      </c>
      <c r="AN37" s="195" t="s">
        <v>113</v>
      </c>
      <c r="AO37" s="121" t="s">
        <v>113</v>
      </c>
      <c r="AP37" s="121" t="s">
        <v>113</v>
      </c>
    </row>
    <row r="38" spans="1:42">
      <c r="A38" s="122" t="s">
        <v>212</v>
      </c>
      <c r="B38" s="112"/>
      <c r="C38" s="111"/>
      <c r="D38" s="121"/>
      <c r="E38" s="111"/>
      <c r="F38" s="111">
        <v>28</v>
      </c>
      <c r="G38" s="111">
        <v>84</v>
      </c>
      <c r="H38" s="111">
        <v>-167</v>
      </c>
      <c r="I38" s="111">
        <v>560</v>
      </c>
      <c r="J38" s="111">
        <f>-280-7</f>
        <v>-287</v>
      </c>
      <c r="K38" s="111">
        <v>-51</v>
      </c>
      <c r="L38" s="112"/>
      <c r="M38" s="111"/>
      <c r="N38" s="111"/>
      <c r="O38" s="111"/>
      <c r="P38" s="200"/>
      <c r="Q38" s="111"/>
      <c r="R38" s="111"/>
      <c r="S38" s="111"/>
      <c r="T38" s="195">
        <v>28</v>
      </c>
      <c r="U38" s="121">
        <v>34</v>
      </c>
      <c r="V38" s="121">
        <v>17</v>
      </c>
      <c r="W38" s="121">
        <v>33</v>
      </c>
      <c r="X38" s="195" t="s">
        <v>113</v>
      </c>
      <c r="Y38" s="121" t="s">
        <v>113</v>
      </c>
      <c r="Z38" s="121" t="s">
        <v>113</v>
      </c>
      <c r="AA38" s="121" t="s">
        <v>113</v>
      </c>
      <c r="AB38" s="195">
        <v>-167</v>
      </c>
      <c r="AC38" s="121" t="s">
        <v>113</v>
      </c>
      <c r="AD38" s="121">
        <v>422</v>
      </c>
      <c r="AE38" s="121">
        <v>138</v>
      </c>
      <c r="AF38" s="195" t="s">
        <v>113</v>
      </c>
      <c r="AG38" s="121" t="s">
        <v>113</v>
      </c>
      <c r="AH38" s="121" t="s">
        <v>113</v>
      </c>
      <c r="AI38" s="121">
        <v>-7</v>
      </c>
      <c r="AJ38" s="195">
        <v>-280</v>
      </c>
      <c r="AK38" s="121" t="s">
        <v>113</v>
      </c>
      <c r="AL38" s="121">
        <v>142</v>
      </c>
      <c r="AM38" s="121">
        <v>-208</v>
      </c>
      <c r="AN38" s="195">
        <v>15</v>
      </c>
      <c r="AO38" s="121" t="s">
        <v>113</v>
      </c>
      <c r="AP38" s="121">
        <v>49</v>
      </c>
    </row>
    <row r="39" spans="1:42">
      <c r="A39" s="122" t="s">
        <v>199</v>
      </c>
      <c r="B39" s="112"/>
      <c r="C39" s="111"/>
      <c r="D39" s="121"/>
      <c r="E39" s="111"/>
      <c r="F39" s="111">
        <v>196</v>
      </c>
      <c r="G39" s="111">
        <v>104</v>
      </c>
      <c r="H39" s="392" t="s">
        <v>113</v>
      </c>
      <c r="I39" s="392">
        <v>85</v>
      </c>
      <c r="J39" s="392">
        <v>158</v>
      </c>
      <c r="K39" s="392">
        <v>290</v>
      </c>
      <c r="L39" s="112"/>
      <c r="M39" s="111"/>
      <c r="N39" s="111"/>
      <c r="O39" s="111"/>
      <c r="P39" s="200"/>
      <c r="Q39" s="111"/>
      <c r="R39" s="111"/>
      <c r="S39" s="111">
        <v>179</v>
      </c>
      <c r="T39" s="195">
        <v>17</v>
      </c>
      <c r="U39" s="121">
        <v>10</v>
      </c>
      <c r="V39" s="121">
        <v>57</v>
      </c>
      <c r="W39" s="121">
        <v>22</v>
      </c>
      <c r="X39" s="195">
        <v>15</v>
      </c>
      <c r="Y39" s="121" t="s">
        <v>113</v>
      </c>
      <c r="Z39" s="121" t="s">
        <v>113</v>
      </c>
      <c r="AA39" s="121" t="s">
        <v>113</v>
      </c>
      <c r="AB39" s="195">
        <v>0</v>
      </c>
      <c r="AC39" s="121" t="s">
        <v>113</v>
      </c>
      <c r="AD39" s="121">
        <v>73</v>
      </c>
      <c r="AE39" s="121">
        <v>12</v>
      </c>
      <c r="AF39" s="195" t="s">
        <v>113</v>
      </c>
      <c r="AG39" s="121" t="s">
        <v>113</v>
      </c>
      <c r="AH39" s="121" t="s">
        <v>113</v>
      </c>
      <c r="AI39" s="121" t="s">
        <v>113</v>
      </c>
      <c r="AJ39" s="195">
        <v>158</v>
      </c>
      <c r="AK39" s="121">
        <v>125</v>
      </c>
      <c r="AL39" s="121">
        <v>165</v>
      </c>
      <c r="AM39" s="121" t="s">
        <v>113</v>
      </c>
      <c r="AN39" s="195" t="s">
        <v>113</v>
      </c>
      <c r="AO39" s="121" t="s">
        <v>113</v>
      </c>
      <c r="AP39" s="121">
        <v>98</v>
      </c>
    </row>
    <row r="40" spans="1:42" ht="10.5">
      <c r="A40" s="369" t="s">
        <v>180</v>
      </c>
      <c r="B40" s="112"/>
      <c r="C40" s="116"/>
      <c r="D40" s="112"/>
      <c r="E40" s="127">
        <v>7779</v>
      </c>
      <c r="F40" s="127">
        <v>8582</v>
      </c>
      <c r="G40" s="127">
        <v>7669</v>
      </c>
      <c r="H40" s="127">
        <v>9098</v>
      </c>
      <c r="I40" s="127">
        <v>11755</v>
      </c>
      <c r="J40" s="127">
        <v>13117</v>
      </c>
      <c r="K40" s="127">
        <v>12624</v>
      </c>
      <c r="L40" s="609"/>
      <c r="M40" s="127">
        <v>1611</v>
      </c>
      <c r="N40" s="127">
        <v>1991</v>
      </c>
      <c r="O40" s="127">
        <v>2024</v>
      </c>
      <c r="P40" s="393">
        <v>2154</v>
      </c>
      <c r="Q40" s="127">
        <v>1989</v>
      </c>
      <c r="R40" s="127">
        <v>2301.5304182700002</v>
      </c>
      <c r="S40" s="127">
        <v>2160.4103993842</v>
      </c>
      <c r="T40" s="587">
        <v>2131.060167183</v>
      </c>
      <c r="U40" s="127">
        <v>1911</v>
      </c>
      <c r="V40" s="127">
        <v>1583</v>
      </c>
      <c r="W40" s="127">
        <v>1896</v>
      </c>
      <c r="X40" s="370">
        <v>2279</v>
      </c>
      <c r="Y40" s="127">
        <v>2016</v>
      </c>
      <c r="Z40" s="127">
        <v>2197</v>
      </c>
      <c r="AA40" s="127">
        <v>2331</v>
      </c>
      <c r="AB40" s="370">
        <v>2554</v>
      </c>
      <c r="AC40" s="127">
        <v>2588</v>
      </c>
      <c r="AD40" s="127">
        <v>2801</v>
      </c>
      <c r="AE40" s="127">
        <v>3064</v>
      </c>
      <c r="AF40" s="370">
        <v>3302</v>
      </c>
      <c r="AG40" s="127">
        <v>3187</v>
      </c>
      <c r="AH40" s="127">
        <v>3429</v>
      </c>
      <c r="AI40" s="127">
        <v>3272</v>
      </c>
      <c r="AJ40" s="370">
        <v>3229</v>
      </c>
      <c r="AK40" s="127">
        <v>2887</v>
      </c>
      <c r="AL40" s="127">
        <v>3246</v>
      </c>
      <c r="AM40" s="127">
        <v>3086</v>
      </c>
      <c r="AN40" s="370">
        <v>3405</v>
      </c>
      <c r="AO40" s="127">
        <v>3099</v>
      </c>
      <c r="AP40" s="127">
        <v>2984</v>
      </c>
    </row>
    <row r="41" spans="1:42" ht="10.5">
      <c r="A41" s="122" t="s">
        <v>0</v>
      </c>
      <c r="B41" s="123"/>
      <c r="C41" s="116"/>
      <c r="D41" s="112"/>
      <c r="E41" s="116">
        <v>38285</v>
      </c>
      <c r="F41" s="116">
        <v>40849</v>
      </c>
      <c r="G41" s="116">
        <v>36122</v>
      </c>
      <c r="H41" s="116">
        <v>39645</v>
      </c>
      <c r="I41" s="116">
        <v>49694</v>
      </c>
      <c r="J41" s="112">
        <v>60343</v>
      </c>
      <c r="K41" s="112">
        <v>63604</v>
      </c>
      <c r="L41" s="610"/>
      <c r="M41" s="116">
        <v>8233</v>
      </c>
      <c r="N41" s="116">
        <v>9843</v>
      </c>
      <c r="O41" s="116">
        <v>9651</v>
      </c>
      <c r="P41" s="201">
        <v>10558</v>
      </c>
      <c r="Q41" s="116">
        <v>9785</v>
      </c>
      <c r="R41" s="116">
        <v>10626</v>
      </c>
      <c r="S41" s="116">
        <v>10158</v>
      </c>
      <c r="T41" s="588">
        <v>10280</v>
      </c>
      <c r="U41" s="116">
        <v>9134</v>
      </c>
      <c r="V41" s="116">
        <v>8458</v>
      </c>
      <c r="W41" s="116">
        <v>8724</v>
      </c>
      <c r="X41" s="206">
        <v>9806</v>
      </c>
      <c r="Y41" s="116">
        <v>8773</v>
      </c>
      <c r="Z41" s="116">
        <v>9733</v>
      </c>
      <c r="AA41" s="116">
        <v>9966</v>
      </c>
      <c r="AB41" s="206">
        <v>11173</v>
      </c>
      <c r="AC41" s="116">
        <v>11088</v>
      </c>
      <c r="AD41" s="116">
        <v>11868</v>
      </c>
      <c r="AE41" s="116">
        <v>12802</v>
      </c>
      <c r="AF41" s="206">
        <v>13936</v>
      </c>
      <c r="AG41" s="116">
        <v>13868</v>
      </c>
      <c r="AH41" s="116">
        <v>15910</v>
      </c>
      <c r="AI41" s="116">
        <v>14997</v>
      </c>
      <c r="AJ41" s="206">
        <v>15568</v>
      </c>
      <c r="AK41" s="116">
        <v>14143</v>
      </c>
      <c r="AL41" s="116">
        <v>16511</v>
      </c>
      <c r="AM41" s="116">
        <v>15699</v>
      </c>
      <c r="AN41" s="206">
        <v>17251</v>
      </c>
      <c r="AO41" s="116">
        <v>15536</v>
      </c>
      <c r="AP41" s="116">
        <v>15130</v>
      </c>
    </row>
    <row r="42" spans="1:42" ht="10.5">
      <c r="A42" s="113" t="s">
        <v>178</v>
      </c>
      <c r="B42" s="114"/>
      <c r="C42" s="118"/>
      <c r="D42" s="118"/>
      <c r="E42" s="118">
        <v>20.31866266161682</v>
      </c>
      <c r="F42" s="118">
        <v>20.984601826238098</v>
      </c>
      <c r="G42" s="118">
        <v>21.2</v>
      </c>
      <c r="H42" s="118">
        <v>22.9</v>
      </c>
      <c r="I42" s="118">
        <v>23.7</v>
      </c>
      <c r="J42" s="118">
        <v>21.7</v>
      </c>
      <c r="K42" s="118">
        <v>19.8</v>
      </c>
      <c r="L42" s="119"/>
      <c r="M42" s="118">
        <v>19.600000000000001</v>
      </c>
      <c r="N42" s="118">
        <v>20.2</v>
      </c>
      <c r="O42" s="118">
        <v>20.971920008289295</v>
      </c>
      <c r="P42" s="199">
        <v>20.401591210456527</v>
      </c>
      <c r="Q42" s="118">
        <v>20.3</v>
      </c>
      <c r="R42" s="118">
        <v>21.659424226143422</v>
      </c>
      <c r="S42" s="118">
        <v>21.268068511362472</v>
      </c>
      <c r="T42" s="199">
        <v>20.730157268317122</v>
      </c>
      <c r="U42" s="118">
        <v>20.9</v>
      </c>
      <c r="V42" s="118">
        <v>18.712461574840386</v>
      </c>
      <c r="W42" s="118">
        <v>21.730857404860153</v>
      </c>
      <c r="X42" s="199">
        <v>23.240872934937791</v>
      </c>
      <c r="Y42" s="118">
        <v>22.979596489228314</v>
      </c>
      <c r="Z42" s="118">
        <v>22.6</v>
      </c>
      <c r="AA42" s="118">
        <v>23.389524382901865</v>
      </c>
      <c r="AB42" s="199">
        <v>22.858677168173276</v>
      </c>
      <c r="AC42" s="118">
        <v>23.340548340548338</v>
      </c>
      <c r="AD42" s="118">
        <v>23.601280754971352</v>
      </c>
      <c r="AE42" s="118">
        <v>23.93376034994532</v>
      </c>
      <c r="AF42" s="199">
        <v>23.694029850746269</v>
      </c>
      <c r="AG42" s="118">
        <v>22.980963368906838</v>
      </c>
      <c r="AH42" s="118">
        <v>21.6</v>
      </c>
      <c r="AI42" s="118">
        <v>21.817696872707877</v>
      </c>
      <c r="AJ42" s="199">
        <v>20.741264131551901</v>
      </c>
      <c r="AK42" s="118">
        <v>20.412925121968463</v>
      </c>
      <c r="AL42" s="118">
        <v>19.659620858821391</v>
      </c>
      <c r="AM42" s="118">
        <v>19.657303012930761</v>
      </c>
      <c r="AN42" s="199">
        <v>19.737986203698334</v>
      </c>
      <c r="AO42" s="118">
        <v>19.899999999999999</v>
      </c>
      <c r="AP42" s="118">
        <v>19.722405816259091</v>
      </c>
    </row>
    <row r="43" spans="1:42">
      <c r="A43" s="51" t="s">
        <v>183</v>
      </c>
      <c r="B43" s="107"/>
      <c r="C43" s="107"/>
      <c r="D43" s="317"/>
      <c r="E43" s="107"/>
      <c r="F43" s="107"/>
      <c r="G43" s="107"/>
      <c r="H43" s="107"/>
      <c r="I43" s="107"/>
      <c r="J43" s="107"/>
      <c r="K43" s="107"/>
      <c r="L43" s="107"/>
      <c r="M43" s="107"/>
      <c r="N43" s="107"/>
      <c r="O43" s="107"/>
      <c r="P43" s="194"/>
      <c r="Q43" s="107"/>
      <c r="R43" s="107"/>
      <c r="S43" s="107"/>
      <c r="T43" s="194"/>
      <c r="U43" s="107"/>
      <c r="V43" s="107"/>
      <c r="W43" s="107"/>
      <c r="X43" s="194"/>
      <c r="Y43" s="107"/>
      <c r="Z43" s="107"/>
      <c r="AA43" s="107"/>
      <c r="AB43" s="194"/>
      <c r="AC43" s="107"/>
      <c r="AD43" s="107"/>
      <c r="AE43" s="107"/>
      <c r="AF43" s="194"/>
      <c r="AG43" s="107"/>
      <c r="AH43" s="107"/>
      <c r="AI43" s="107"/>
      <c r="AJ43" s="194"/>
      <c r="AK43" s="107"/>
      <c r="AL43" s="107"/>
      <c r="AM43" s="107"/>
      <c r="AN43" s="194"/>
      <c r="AO43" s="107"/>
      <c r="AP43" s="107"/>
    </row>
    <row r="44" spans="1:42">
      <c r="A44" s="107"/>
      <c r="B44" s="107"/>
      <c r="C44" s="107"/>
      <c r="D44" s="317"/>
      <c r="E44" s="107"/>
      <c r="F44" s="107"/>
      <c r="G44" s="107"/>
      <c r="H44" s="107"/>
      <c r="I44" s="107"/>
      <c r="J44" s="107"/>
      <c r="K44" s="107"/>
      <c r="L44" s="107"/>
      <c r="M44" s="107"/>
      <c r="N44" s="107"/>
      <c r="O44" s="107"/>
      <c r="P44" s="194"/>
      <c r="Q44" s="107"/>
      <c r="R44" s="107"/>
      <c r="S44" s="107"/>
      <c r="T44" s="194"/>
      <c r="U44" s="107"/>
      <c r="V44" s="107"/>
      <c r="W44" s="107"/>
      <c r="X44" s="194"/>
      <c r="Y44" s="107"/>
      <c r="Z44" s="107"/>
      <c r="AA44" s="107"/>
      <c r="AB44" s="194"/>
      <c r="AC44" s="107"/>
      <c r="AD44" s="107"/>
      <c r="AE44" s="107"/>
      <c r="AF44" s="194"/>
      <c r="AG44" s="107"/>
      <c r="AH44" s="107"/>
      <c r="AI44" s="107"/>
      <c r="AJ44" s="194"/>
      <c r="AK44" s="107"/>
      <c r="AL44" s="107"/>
      <c r="AM44" s="107"/>
      <c r="AN44" s="194"/>
      <c r="AO44" s="107"/>
      <c r="AP44" s="107"/>
    </row>
    <row r="45" spans="1:42" ht="12.5">
      <c r="A45" s="585" t="s">
        <v>145</v>
      </c>
      <c r="B45" s="110">
        <v>2015</v>
      </c>
      <c r="C45" s="110">
        <v>2016</v>
      </c>
      <c r="D45" s="110" t="s">
        <v>229</v>
      </c>
      <c r="E45" s="110">
        <v>2018</v>
      </c>
      <c r="F45" s="110">
        <v>2019</v>
      </c>
      <c r="G45" s="110">
        <v>2020</v>
      </c>
      <c r="H45" s="110">
        <v>2021</v>
      </c>
      <c r="I45" s="110">
        <v>2022</v>
      </c>
      <c r="J45" s="110">
        <v>2023</v>
      </c>
      <c r="K45" s="110">
        <v>2024</v>
      </c>
      <c r="L45" s="123"/>
      <c r="M45" s="324" t="s">
        <v>764</v>
      </c>
      <c r="N45" s="324" t="s">
        <v>765</v>
      </c>
      <c r="O45" s="324" t="s">
        <v>766</v>
      </c>
      <c r="P45" s="586" t="s">
        <v>767</v>
      </c>
      <c r="Q45" s="324" t="s">
        <v>768</v>
      </c>
      <c r="R45" s="324" t="s">
        <v>730</v>
      </c>
      <c r="S45" s="324" t="s">
        <v>731</v>
      </c>
      <c r="T45" s="586" t="s">
        <v>732</v>
      </c>
      <c r="U45" s="324" t="s">
        <v>733</v>
      </c>
      <c r="V45" s="324" t="s">
        <v>626</v>
      </c>
      <c r="W45" s="324" t="s">
        <v>620</v>
      </c>
      <c r="X45" s="586" t="s">
        <v>619</v>
      </c>
      <c r="Y45" s="324" t="s">
        <v>614</v>
      </c>
      <c r="Z45" s="324" t="s">
        <v>604</v>
      </c>
      <c r="AA45" s="324" t="s">
        <v>589</v>
      </c>
      <c r="AB45" s="586" t="s">
        <v>587</v>
      </c>
      <c r="AC45" s="324" t="s">
        <v>504</v>
      </c>
      <c r="AD45" s="324" t="s">
        <v>551</v>
      </c>
      <c r="AE45" s="324" t="s">
        <v>532</v>
      </c>
      <c r="AF45" s="586" t="s">
        <v>530</v>
      </c>
      <c r="AG45" s="324" t="s">
        <v>803</v>
      </c>
      <c r="AH45" s="324" t="s">
        <v>812</v>
      </c>
      <c r="AI45" s="324" t="s">
        <v>816</v>
      </c>
      <c r="AJ45" s="586" t="s">
        <v>835</v>
      </c>
      <c r="AK45" s="324" t="s">
        <v>872</v>
      </c>
      <c r="AL45" s="324" t="s">
        <v>986</v>
      </c>
      <c r="AM45" s="324" t="s">
        <v>1016</v>
      </c>
      <c r="AN45" s="586" t="s">
        <v>1039</v>
      </c>
      <c r="AO45" s="324" t="s">
        <v>1076</v>
      </c>
      <c r="AP45" s="324" t="s">
        <v>1285</v>
      </c>
    </row>
    <row r="46" spans="1:42">
      <c r="A46" s="111" t="s">
        <v>742</v>
      </c>
      <c r="B46" s="112">
        <v>4955</v>
      </c>
      <c r="C46" s="112">
        <v>4411</v>
      </c>
      <c r="D46" s="112">
        <v>5793</v>
      </c>
      <c r="E46" s="112">
        <v>7201</v>
      </c>
      <c r="F46" s="112">
        <v>7843</v>
      </c>
      <c r="G46" s="112">
        <v>7087</v>
      </c>
      <c r="H46" s="112">
        <v>8964</v>
      </c>
      <c r="I46" s="112">
        <v>10778</v>
      </c>
      <c r="J46" s="112">
        <v>12235</v>
      </c>
      <c r="K46" s="112">
        <v>11439</v>
      </c>
      <c r="L46" s="112"/>
      <c r="M46" s="112">
        <v>1458</v>
      </c>
      <c r="N46" s="112">
        <v>1766</v>
      </c>
      <c r="O46" s="112">
        <v>1861.0172940299999</v>
      </c>
      <c r="P46" s="195">
        <v>2115.9827059700001</v>
      </c>
      <c r="Q46" s="112">
        <v>1830</v>
      </c>
      <c r="R46" s="112">
        <v>2225</v>
      </c>
      <c r="S46" s="112">
        <v>1866</v>
      </c>
      <c r="T46" s="195">
        <v>1922</v>
      </c>
      <c r="U46" s="112">
        <v>1886</v>
      </c>
      <c r="V46" s="112">
        <v>1367</v>
      </c>
      <c r="W46" s="112">
        <v>1744</v>
      </c>
      <c r="X46" s="195">
        <v>2090</v>
      </c>
      <c r="Y46" s="112">
        <v>1834</v>
      </c>
      <c r="Z46" s="112">
        <v>2138</v>
      </c>
      <c r="AA46" s="112">
        <v>2425</v>
      </c>
      <c r="AB46" s="195">
        <v>2567</v>
      </c>
      <c r="AC46" s="112">
        <v>2564</v>
      </c>
      <c r="AD46" s="112">
        <v>2292</v>
      </c>
      <c r="AE46" s="112">
        <v>2876</v>
      </c>
      <c r="AF46" s="195">
        <v>3046</v>
      </c>
      <c r="AG46" s="112">
        <v>2964</v>
      </c>
      <c r="AH46" s="112">
        <v>3428</v>
      </c>
      <c r="AI46" s="112">
        <v>2929</v>
      </c>
      <c r="AJ46" s="195">
        <v>2914</v>
      </c>
      <c r="AK46" s="112">
        <v>2644</v>
      </c>
      <c r="AL46" s="112">
        <v>2656</v>
      </c>
      <c r="AM46" s="112">
        <v>3013</v>
      </c>
      <c r="AN46" s="195">
        <v>3126</v>
      </c>
      <c r="AO46" s="112">
        <v>2881</v>
      </c>
      <c r="AP46" s="112">
        <v>2700</v>
      </c>
    </row>
    <row r="47" spans="1:42">
      <c r="A47" s="111" t="s">
        <v>264</v>
      </c>
      <c r="B47" s="112">
        <v>28663</v>
      </c>
      <c r="C47" s="112">
        <v>27102</v>
      </c>
      <c r="D47" s="112">
        <v>31364</v>
      </c>
      <c r="E47" s="112">
        <v>38285</v>
      </c>
      <c r="F47" s="112">
        <v>40849</v>
      </c>
      <c r="G47" s="112">
        <v>36122</v>
      </c>
      <c r="H47" s="112">
        <v>39645</v>
      </c>
      <c r="I47" s="112">
        <v>49694</v>
      </c>
      <c r="J47" s="112">
        <v>60343</v>
      </c>
      <c r="K47" s="112">
        <v>63604</v>
      </c>
      <c r="L47" s="112"/>
      <c r="M47" s="112">
        <v>8233</v>
      </c>
      <c r="N47" s="112">
        <v>9843</v>
      </c>
      <c r="O47" s="112">
        <v>9651</v>
      </c>
      <c r="P47" s="195">
        <v>10558</v>
      </c>
      <c r="Q47" s="112">
        <v>9785</v>
      </c>
      <c r="R47" s="112">
        <v>10626</v>
      </c>
      <c r="S47" s="112">
        <v>10158</v>
      </c>
      <c r="T47" s="195">
        <v>10280</v>
      </c>
      <c r="U47" s="112">
        <v>9134</v>
      </c>
      <c r="V47" s="112">
        <v>8458</v>
      </c>
      <c r="W47" s="112">
        <v>8724</v>
      </c>
      <c r="X47" s="195">
        <v>9806</v>
      </c>
      <c r="Y47" s="112">
        <v>8773</v>
      </c>
      <c r="Z47" s="112">
        <v>9733</v>
      </c>
      <c r="AA47" s="112">
        <v>9966</v>
      </c>
      <c r="AB47" s="195">
        <v>11173</v>
      </c>
      <c r="AC47" s="112">
        <v>11088</v>
      </c>
      <c r="AD47" s="112">
        <v>11868</v>
      </c>
      <c r="AE47" s="112">
        <v>12802</v>
      </c>
      <c r="AF47" s="195">
        <v>13936</v>
      </c>
      <c r="AG47" s="112">
        <v>13868</v>
      </c>
      <c r="AH47" s="112">
        <v>15910</v>
      </c>
      <c r="AI47" s="112">
        <v>14997</v>
      </c>
      <c r="AJ47" s="195">
        <v>15568</v>
      </c>
      <c r="AK47" s="112">
        <v>14143</v>
      </c>
      <c r="AL47" s="112">
        <v>16511</v>
      </c>
      <c r="AM47" s="112">
        <v>15699</v>
      </c>
      <c r="AN47" s="195">
        <v>17251</v>
      </c>
      <c r="AO47" s="112">
        <v>15536</v>
      </c>
      <c r="AP47" s="112">
        <v>15130</v>
      </c>
    </row>
    <row r="48" spans="1:42" ht="10.5">
      <c r="A48" s="113" t="s">
        <v>146</v>
      </c>
      <c r="B48" s="114">
        <v>17.3</v>
      </c>
      <c r="C48" s="118">
        <v>16.3</v>
      </c>
      <c r="D48" s="118">
        <v>18.5</v>
      </c>
      <c r="E48" s="118">
        <v>18.808933002481389</v>
      </c>
      <c r="F48" s="118">
        <v>19.199980415677249</v>
      </c>
      <c r="G48" s="118">
        <v>19.600000000000001</v>
      </c>
      <c r="H48" s="118">
        <v>22.6</v>
      </c>
      <c r="I48" s="118">
        <v>21.7</v>
      </c>
      <c r="J48" s="118">
        <v>20.3</v>
      </c>
      <c r="K48" s="118">
        <v>18</v>
      </c>
      <c r="L48" s="119"/>
      <c r="M48" s="118">
        <v>17.709218996720516</v>
      </c>
      <c r="N48" s="118">
        <v>17.941684445799044</v>
      </c>
      <c r="O48" s="118">
        <v>19.283155051600868</v>
      </c>
      <c r="P48" s="199">
        <v>20.041510759329419</v>
      </c>
      <c r="Q48" s="118">
        <v>18.702095043433829</v>
      </c>
      <c r="R48" s="118">
        <v>20.939205721814417</v>
      </c>
      <c r="S48" s="118">
        <v>18.369757826343768</v>
      </c>
      <c r="T48" s="199">
        <v>18.696498054474709</v>
      </c>
      <c r="U48" s="118">
        <v>20.6</v>
      </c>
      <c r="V48" s="118">
        <v>16.162213289193662</v>
      </c>
      <c r="W48" s="118">
        <v>19.990829894543786</v>
      </c>
      <c r="X48" s="199">
        <v>21.313481541913117</v>
      </c>
      <c r="Y48" s="118">
        <v>20.905049583950756</v>
      </c>
      <c r="Z48" s="118">
        <v>22</v>
      </c>
      <c r="AA48" s="118">
        <v>24.332731286373672</v>
      </c>
      <c r="AB48" s="199">
        <v>22.975029087979951</v>
      </c>
      <c r="AC48" s="118">
        <v>23.133116883116884</v>
      </c>
      <c r="AD48" s="118">
        <v>19.304010785305024</v>
      </c>
      <c r="AE48" s="118">
        <v>22.46523980628027</v>
      </c>
      <c r="AF48" s="199">
        <v>21.857060849598163</v>
      </c>
      <c r="AG48" s="118">
        <v>21.372944909143353</v>
      </c>
      <c r="AH48" s="118">
        <v>21.5</v>
      </c>
      <c r="AI48" s="118">
        <v>19.530572781222912</v>
      </c>
      <c r="AJ48" s="199">
        <v>18.717882836587872</v>
      </c>
      <c r="AK48" s="118">
        <v>18.694760658983242</v>
      </c>
      <c r="AL48" s="118">
        <v>16.086245533280845</v>
      </c>
      <c r="AM48" s="118">
        <v>19.192305242372125</v>
      </c>
      <c r="AN48" s="199">
        <v>18.120688655730103</v>
      </c>
      <c r="AO48" s="118">
        <v>18.5</v>
      </c>
      <c r="AP48" s="118">
        <v>17.84534038334435</v>
      </c>
    </row>
    <row r="49" spans="1:42">
      <c r="A49" s="51" t="s">
        <v>133</v>
      </c>
      <c r="B49" s="107"/>
      <c r="C49" s="107"/>
      <c r="D49" s="317"/>
      <c r="E49" s="107"/>
      <c r="F49" s="107"/>
      <c r="G49" s="107"/>
      <c r="H49" s="107"/>
      <c r="I49" s="107"/>
      <c r="J49" s="107"/>
      <c r="K49" s="107"/>
      <c r="L49" s="107"/>
      <c r="M49" s="107"/>
      <c r="N49" s="107"/>
      <c r="O49" s="107"/>
      <c r="P49" s="194"/>
      <c r="Q49" s="107"/>
      <c r="R49" s="107"/>
      <c r="S49" s="107"/>
      <c r="T49" s="194"/>
      <c r="U49" s="107"/>
      <c r="V49" s="107"/>
      <c r="W49" s="107"/>
      <c r="X49" s="194"/>
      <c r="Y49" s="107"/>
      <c r="Z49" s="107"/>
      <c r="AA49" s="107"/>
      <c r="AB49" s="194"/>
      <c r="AC49" s="107"/>
      <c r="AD49" s="107"/>
      <c r="AE49" s="107"/>
      <c r="AF49" s="194"/>
      <c r="AG49" s="107"/>
      <c r="AH49" s="107"/>
      <c r="AI49" s="107"/>
      <c r="AJ49" s="194"/>
      <c r="AK49" s="107"/>
      <c r="AL49" s="107"/>
      <c r="AM49" s="107"/>
      <c r="AN49" s="194"/>
      <c r="AO49" s="107"/>
      <c r="AP49" s="107"/>
    </row>
    <row r="50" spans="1:42">
      <c r="A50" s="51"/>
      <c r="B50" s="107"/>
      <c r="C50" s="107"/>
      <c r="D50" s="317"/>
      <c r="E50" s="107"/>
      <c r="F50" s="107"/>
      <c r="G50" s="107"/>
      <c r="H50" s="107"/>
      <c r="I50" s="107"/>
      <c r="J50" s="107"/>
      <c r="K50" s="107"/>
      <c r="L50" s="107"/>
      <c r="M50" s="107"/>
      <c r="N50" s="107"/>
      <c r="O50" s="107"/>
      <c r="P50" s="194"/>
      <c r="Q50" s="107"/>
      <c r="R50" s="107"/>
      <c r="S50" s="107"/>
      <c r="T50" s="194"/>
      <c r="U50" s="107"/>
      <c r="V50" s="107"/>
      <c r="W50" s="107"/>
      <c r="X50" s="194"/>
      <c r="Y50" s="107"/>
      <c r="Z50" s="107"/>
      <c r="AA50" s="107"/>
      <c r="AB50" s="194"/>
      <c r="AC50" s="107"/>
      <c r="AD50" s="107"/>
      <c r="AE50" s="107"/>
      <c r="AF50" s="194"/>
      <c r="AG50" s="107"/>
      <c r="AH50" s="107"/>
      <c r="AI50" s="107"/>
      <c r="AJ50" s="194"/>
      <c r="AK50" s="107"/>
      <c r="AL50" s="107"/>
      <c r="AM50" s="107"/>
      <c r="AN50" s="194"/>
      <c r="AO50" s="107"/>
      <c r="AP50" s="107"/>
    </row>
    <row r="51" spans="1:42" ht="12.5">
      <c r="A51" s="585" t="s">
        <v>308</v>
      </c>
      <c r="B51" s="110">
        <v>2015</v>
      </c>
      <c r="C51" s="110">
        <v>2016</v>
      </c>
      <c r="D51" s="110" t="s">
        <v>229</v>
      </c>
      <c r="E51" s="110">
        <v>2018</v>
      </c>
      <c r="F51" s="110">
        <v>2019</v>
      </c>
      <c r="G51" s="110">
        <v>2020</v>
      </c>
      <c r="H51" s="110">
        <v>2021</v>
      </c>
      <c r="I51" s="110">
        <v>2022</v>
      </c>
      <c r="J51" s="110">
        <v>2023</v>
      </c>
      <c r="K51" s="110">
        <v>2024</v>
      </c>
      <c r="L51" s="123"/>
      <c r="M51" s="324" t="s">
        <v>764</v>
      </c>
      <c r="N51" s="324" t="s">
        <v>765</v>
      </c>
      <c r="O51" s="324" t="s">
        <v>766</v>
      </c>
      <c r="P51" s="586" t="s">
        <v>767</v>
      </c>
      <c r="Q51" s="324" t="s">
        <v>768</v>
      </c>
      <c r="R51" s="324" t="s">
        <v>730</v>
      </c>
      <c r="S51" s="324" t="s">
        <v>731</v>
      </c>
      <c r="T51" s="586" t="s">
        <v>732</v>
      </c>
      <c r="U51" s="324" t="s">
        <v>733</v>
      </c>
      <c r="V51" s="324" t="s">
        <v>626</v>
      </c>
      <c r="W51" s="324" t="s">
        <v>620</v>
      </c>
      <c r="X51" s="586" t="s">
        <v>619</v>
      </c>
      <c r="Y51" s="324" t="s">
        <v>614</v>
      </c>
      <c r="Z51" s="324" t="s">
        <v>604</v>
      </c>
      <c r="AA51" s="324" t="s">
        <v>589</v>
      </c>
      <c r="AB51" s="586" t="s">
        <v>587</v>
      </c>
      <c r="AC51" s="324" t="s">
        <v>504</v>
      </c>
      <c r="AD51" s="324" t="s">
        <v>551</v>
      </c>
      <c r="AE51" s="324" t="s">
        <v>532</v>
      </c>
      <c r="AF51" s="586" t="s">
        <v>530</v>
      </c>
      <c r="AG51" s="324" t="s">
        <v>803</v>
      </c>
      <c r="AH51" s="324" t="s">
        <v>812</v>
      </c>
      <c r="AI51" s="324" t="s">
        <v>816</v>
      </c>
      <c r="AJ51" s="586" t="s">
        <v>835</v>
      </c>
      <c r="AK51" s="324" t="s">
        <v>872</v>
      </c>
      <c r="AL51" s="324" t="s">
        <v>986</v>
      </c>
      <c r="AM51" s="324" t="s">
        <v>1016</v>
      </c>
      <c r="AN51" s="586" t="s">
        <v>1039</v>
      </c>
      <c r="AO51" s="324" t="s">
        <v>1076</v>
      </c>
      <c r="AP51" s="324" t="s">
        <v>1285</v>
      </c>
    </row>
    <row r="52" spans="1:42">
      <c r="A52" s="111" t="s">
        <v>743</v>
      </c>
      <c r="B52" s="112">
        <v>28418</v>
      </c>
      <c r="C52" s="112">
        <v>29984</v>
      </c>
      <c r="D52" s="112">
        <v>27547</v>
      </c>
      <c r="E52" s="112">
        <v>36155</v>
      </c>
      <c r="F52" s="112">
        <v>41037</v>
      </c>
      <c r="G52" s="112">
        <v>43886</v>
      </c>
      <c r="H52" s="112">
        <v>48583</v>
      </c>
      <c r="I52" s="112">
        <v>61780</v>
      </c>
      <c r="J52" s="112">
        <v>67784</v>
      </c>
      <c r="K52" s="112">
        <v>83589</v>
      </c>
      <c r="L52" s="112"/>
      <c r="M52" s="112">
        <v>30465</v>
      </c>
      <c r="N52" s="112">
        <v>35024</v>
      </c>
      <c r="O52" s="112">
        <v>34487</v>
      </c>
      <c r="P52" s="195">
        <v>36155</v>
      </c>
      <c r="Q52" s="112">
        <v>39662</v>
      </c>
      <c r="R52" s="112">
        <v>40148</v>
      </c>
      <c r="S52" s="112">
        <v>41525</v>
      </c>
      <c r="T52" s="195">
        <v>41037</v>
      </c>
      <c r="U52" s="112">
        <v>43689</v>
      </c>
      <c r="V52" s="112">
        <v>44324</v>
      </c>
      <c r="W52" s="112">
        <v>44634</v>
      </c>
      <c r="X52" s="195">
        <v>43886</v>
      </c>
      <c r="Y52" s="112">
        <v>46851</v>
      </c>
      <c r="Z52" s="112">
        <v>44517</v>
      </c>
      <c r="AA52" s="112">
        <v>47259</v>
      </c>
      <c r="AB52" s="195">
        <v>48583</v>
      </c>
      <c r="AC52" s="112">
        <v>52409</v>
      </c>
      <c r="AD52" s="112">
        <v>55543</v>
      </c>
      <c r="AE52" s="112">
        <v>61685</v>
      </c>
      <c r="AF52" s="195">
        <v>61780</v>
      </c>
      <c r="AG52" s="112">
        <v>65302</v>
      </c>
      <c r="AH52" s="112">
        <v>70294</v>
      </c>
      <c r="AI52" s="112">
        <v>70640</v>
      </c>
      <c r="AJ52" s="195">
        <v>67784</v>
      </c>
      <c r="AK52" s="112">
        <v>77934</v>
      </c>
      <c r="AL52" s="112">
        <v>81016</v>
      </c>
      <c r="AM52" s="112">
        <v>81565</v>
      </c>
      <c r="AN52" s="195">
        <v>83589</v>
      </c>
      <c r="AO52" s="112">
        <v>80850</v>
      </c>
      <c r="AP52" s="112">
        <v>79352</v>
      </c>
    </row>
    <row r="53" spans="1:42">
      <c r="A53" s="111" t="s">
        <v>744</v>
      </c>
      <c r="B53" s="112">
        <v>6018</v>
      </c>
      <c r="C53" s="112">
        <v>6051</v>
      </c>
      <c r="D53" s="112">
        <v>8261</v>
      </c>
      <c r="E53" s="112">
        <v>10228</v>
      </c>
      <c r="F53" s="112">
        <v>9199</v>
      </c>
      <c r="G53" s="112">
        <v>9186</v>
      </c>
      <c r="H53" s="112">
        <v>13254</v>
      </c>
      <c r="I53" s="112">
        <v>17247</v>
      </c>
      <c r="J53" s="112">
        <v>16347</v>
      </c>
      <c r="K53" s="112">
        <v>18191</v>
      </c>
      <c r="L53" s="112"/>
      <c r="M53" s="112">
        <v>9570</v>
      </c>
      <c r="N53" s="112">
        <v>10202</v>
      </c>
      <c r="O53" s="112">
        <v>9985</v>
      </c>
      <c r="P53" s="195">
        <v>10227</v>
      </c>
      <c r="Q53" s="112">
        <v>9943</v>
      </c>
      <c r="R53" s="112">
        <v>11147</v>
      </c>
      <c r="S53" s="112">
        <v>10424</v>
      </c>
      <c r="T53" s="195">
        <v>9199</v>
      </c>
      <c r="U53" s="112">
        <v>9889</v>
      </c>
      <c r="V53" s="112">
        <v>9742</v>
      </c>
      <c r="W53" s="112">
        <v>9390</v>
      </c>
      <c r="X53" s="195">
        <v>9186</v>
      </c>
      <c r="Y53" s="112">
        <v>10036</v>
      </c>
      <c r="Z53" s="112">
        <v>12820</v>
      </c>
      <c r="AA53" s="112">
        <v>13378</v>
      </c>
      <c r="AB53" s="195">
        <v>13254</v>
      </c>
      <c r="AC53" s="112">
        <v>14159</v>
      </c>
      <c r="AD53" s="112">
        <v>17249</v>
      </c>
      <c r="AE53" s="112">
        <v>19125</v>
      </c>
      <c r="AF53" s="195">
        <v>17247</v>
      </c>
      <c r="AG53" s="112">
        <v>17901</v>
      </c>
      <c r="AH53" s="112">
        <v>20771</v>
      </c>
      <c r="AI53" s="112">
        <v>19460</v>
      </c>
      <c r="AJ53" s="195">
        <v>16347</v>
      </c>
      <c r="AK53" s="112">
        <v>17038</v>
      </c>
      <c r="AL53" s="112">
        <f>20265+1</f>
        <v>20266</v>
      </c>
      <c r="AM53" s="112">
        <v>19280</v>
      </c>
      <c r="AN53" s="195">
        <v>18191</v>
      </c>
      <c r="AO53" s="112">
        <v>16841</v>
      </c>
      <c r="AP53" s="112">
        <v>19239</v>
      </c>
    </row>
    <row r="54" spans="1:42" ht="10.5">
      <c r="A54" s="113" t="s">
        <v>745</v>
      </c>
      <c r="B54" s="117">
        <f>B52-B53</f>
        <v>22400</v>
      </c>
      <c r="C54" s="117">
        <f t="shared" ref="C54:H54" si="0">C52-C53</f>
        <v>23933</v>
      </c>
      <c r="D54" s="117">
        <f t="shared" si="0"/>
        <v>19286</v>
      </c>
      <c r="E54" s="117">
        <f t="shared" si="0"/>
        <v>25927</v>
      </c>
      <c r="F54" s="117">
        <f t="shared" si="0"/>
        <v>31838</v>
      </c>
      <c r="G54" s="117">
        <f t="shared" si="0"/>
        <v>34700</v>
      </c>
      <c r="H54" s="117">
        <f t="shared" si="0"/>
        <v>35329</v>
      </c>
      <c r="I54" s="117">
        <v>44533</v>
      </c>
      <c r="J54" s="117">
        <v>51437</v>
      </c>
      <c r="K54" s="117">
        <v>65398</v>
      </c>
      <c r="L54" s="608"/>
      <c r="M54" s="117">
        <f>M52-M53</f>
        <v>20895</v>
      </c>
      <c r="N54" s="117">
        <f t="shared" ref="N54:X54" si="1">N52-N53</f>
        <v>24822</v>
      </c>
      <c r="O54" s="117">
        <f t="shared" si="1"/>
        <v>24502</v>
      </c>
      <c r="P54" s="117">
        <f t="shared" si="1"/>
        <v>25928</v>
      </c>
      <c r="Q54" s="117">
        <f t="shared" si="1"/>
        <v>29719</v>
      </c>
      <c r="R54" s="117">
        <f t="shared" si="1"/>
        <v>29001</v>
      </c>
      <c r="S54" s="117">
        <f t="shared" si="1"/>
        <v>31101</v>
      </c>
      <c r="T54" s="117">
        <f t="shared" si="1"/>
        <v>31838</v>
      </c>
      <c r="U54" s="117">
        <f t="shared" si="1"/>
        <v>33800</v>
      </c>
      <c r="V54" s="117">
        <f t="shared" si="1"/>
        <v>34582</v>
      </c>
      <c r="W54" s="117">
        <f t="shared" si="1"/>
        <v>35244</v>
      </c>
      <c r="X54" s="198">
        <f t="shared" si="1"/>
        <v>34700</v>
      </c>
      <c r="Y54" s="117">
        <v>36816</v>
      </c>
      <c r="Z54" s="117">
        <v>31698</v>
      </c>
      <c r="AA54" s="117">
        <v>33881</v>
      </c>
      <c r="AB54" s="198">
        <f t="shared" ref="AB54" si="2">AB52-AB53</f>
        <v>35329</v>
      </c>
      <c r="AC54" s="117">
        <v>38250</v>
      </c>
      <c r="AD54" s="117">
        <v>38294</v>
      </c>
      <c r="AE54" s="117">
        <v>42560</v>
      </c>
      <c r="AF54" s="198">
        <v>44534</v>
      </c>
      <c r="AG54" s="117">
        <v>47401</v>
      </c>
      <c r="AH54" s="117">
        <v>49523</v>
      </c>
      <c r="AI54" s="117">
        <v>51180</v>
      </c>
      <c r="AJ54" s="198">
        <v>51437</v>
      </c>
      <c r="AK54" s="117">
        <v>60896</v>
      </c>
      <c r="AL54" s="117">
        <v>60750</v>
      </c>
      <c r="AM54" s="117">
        <v>62285</v>
      </c>
      <c r="AN54" s="198">
        <v>65398</v>
      </c>
      <c r="AO54" s="117">
        <v>64009</v>
      </c>
      <c r="AP54" s="117">
        <v>60113</v>
      </c>
    </row>
    <row r="55" spans="1:42" ht="10.5">
      <c r="A55" s="124"/>
      <c r="B55" s="123"/>
      <c r="C55" s="119"/>
      <c r="D55" s="119"/>
      <c r="E55" s="119"/>
      <c r="F55" s="119"/>
      <c r="G55" s="119"/>
      <c r="H55" s="119"/>
      <c r="I55" s="119"/>
      <c r="J55" s="119"/>
      <c r="K55" s="119"/>
      <c r="L55" s="119"/>
      <c r="M55" s="119"/>
      <c r="N55" s="119"/>
      <c r="O55" s="119"/>
      <c r="P55" s="376"/>
      <c r="Q55" s="119"/>
      <c r="R55" s="119"/>
      <c r="S55" s="119"/>
      <c r="T55" s="376"/>
      <c r="U55" s="119"/>
      <c r="V55" s="119"/>
      <c r="W55" s="119"/>
      <c r="X55" s="376"/>
      <c r="Y55" s="119"/>
      <c r="Z55" s="119"/>
      <c r="AA55" s="119"/>
      <c r="AB55" s="376"/>
      <c r="AC55" s="119"/>
      <c r="AD55" s="119"/>
      <c r="AE55" s="119"/>
      <c r="AF55" s="376"/>
      <c r="AG55" s="119"/>
      <c r="AH55" s="119"/>
      <c r="AI55" s="119"/>
      <c r="AJ55" s="376"/>
      <c r="AK55" s="119"/>
      <c r="AL55" s="119"/>
      <c r="AM55" s="119"/>
      <c r="AN55" s="376"/>
      <c r="AO55" s="119"/>
      <c r="AP55" s="119"/>
    </row>
    <row r="56" spans="1:42" ht="12.5">
      <c r="A56" s="585" t="s">
        <v>147</v>
      </c>
      <c r="B56" s="110" t="s">
        <v>232</v>
      </c>
      <c r="C56" s="110" t="s">
        <v>233</v>
      </c>
      <c r="D56" s="110" t="s">
        <v>234</v>
      </c>
      <c r="E56" s="110" t="s">
        <v>235</v>
      </c>
      <c r="F56" s="110" t="s">
        <v>236</v>
      </c>
      <c r="G56" s="110" t="s">
        <v>237</v>
      </c>
      <c r="H56" s="110" t="s">
        <v>363</v>
      </c>
      <c r="I56" s="110" t="s">
        <v>451</v>
      </c>
      <c r="J56" s="110" t="s">
        <v>854</v>
      </c>
      <c r="K56" s="110" t="s">
        <v>1043</v>
      </c>
      <c r="L56" s="123"/>
      <c r="M56" s="324" t="s">
        <v>764</v>
      </c>
      <c r="N56" s="324" t="s">
        <v>765</v>
      </c>
      <c r="O56" s="324" t="s">
        <v>766</v>
      </c>
      <c r="P56" s="586" t="s">
        <v>767</v>
      </c>
      <c r="Q56" s="324" t="s">
        <v>768</v>
      </c>
      <c r="R56" s="324" t="s">
        <v>730</v>
      </c>
      <c r="S56" s="324" t="s">
        <v>731</v>
      </c>
      <c r="T56" s="586" t="s">
        <v>732</v>
      </c>
      <c r="U56" s="324" t="s">
        <v>733</v>
      </c>
      <c r="V56" s="324" t="s">
        <v>626</v>
      </c>
      <c r="W56" s="324" t="s">
        <v>620</v>
      </c>
      <c r="X56" s="586" t="s">
        <v>619</v>
      </c>
      <c r="Y56" s="324" t="s">
        <v>614</v>
      </c>
      <c r="Z56" s="324" t="s">
        <v>604</v>
      </c>
      <c r="AA56" s="324" t="s">
        <v>589</v>
      </c>
      <c r="AB56" s="586" t="s">
        <v>587</v>
      </c>
      <c r="AC56" s="324" t="s">
        <v>504</v>
      </c>
      <c r="AD56" s="324" t="s">
        <v>551</v>
      </c>
      <c r="AE56" s="324" t="s">
        <v>532</v>
      </c>
      <c r="AF56" s="586" t="s">
        <v>530</v>
      </c>
      <c r="AG56" s="324" t="s">
        <v>803</v>
      </c>
      <c r="AH56" s="324" t="s">
        <v>812</v>
      </c>
      <c r="AI56" s="324" t="s">
        <v>816</v>
      </c>
      <c r="AJ56" s="586" t="s">
        <v>835</v>
      </c>
      <c r="AK56" s="324" t="s">
        <v>872</v>
      </c>
      <c r="AL56" s="324" t="s">
        <v>986</v>
      </c>
      <c r="AM56" s="324" t="s">
        <v>1016</v>
      </c>
      <c r="AN56" s="586" t="s">
        <v>1039</v>
      </c>
      <c r="AO56" s="324" t="s">
        <v>1076</v>
      </c>
      <c r="AP56" s="324" t="s">
        <v>1285</v>
      </c>
    </row>
    <row r="57" spans="1:42">
      <c r="A57" s="111" t="s">
        <v>746</v>
      </c>
      <c r="B57" s="112">
        <v>28663</v>
      </c>
      <c r="C57" s="112">
        <v>27102</v>
      </c>
      <c r="D57" s="112">
        <v>31364</v>
      </c>
      <c r="E57" s="112">
        <v>38285</v>
      </c>
      <c r="F57" s="112">
        <v>40848.650994699703</v>
      </c>
      <c r="G57" s="112">
        <v>36122</v>
      </c>
      <c r="H57" s="112">
        <v>39645</v>
      </c>
      <c r="I57" s="112">
        <v>49694</v>
      </c>
      <c r="J57" s="112">
        <v>60343</v>
      </c>
      <c r="K57" s="112">
        <v>63604</v>
      </c>
      <c r="L57" s="112"/>
      <c r="M57" s="112">
        <v>32186</v>
      </c>
      <c r="N57" s="112">
        <v>34151</v>
      </c>
      <c r="O57" s="112">
        <v>36191</v>
      </c>
      <c r="P57" s="195">
        <v>38285</v>
      </c>
      <c r="Q57" s="112">
        <v>39836.654848746701</v>
      </c>
      <c r="R57" s="112">
        <v>40620.661547384101</v>
      </c>
      <c r="S57" s="112">
        <v>41127.199441532801</v>
      </c>
      <c r="T57" s="195">
        <v>40848.650994699703</v>
      </c>
      <c r="U57" s="112">
        <v>40198</v>
      </c>
      <c r="V57" s="112">
        <v>38030</v>
      </c>
      <c r="W57" s="112">
        <v>36596</v>
      </c>
      <c r="X57" s="195">
        <v>36122</v>
      </c>
      <c r="Y57" s="112">
        <v>35762</v>
      </c>
      <c r="Z57" s="112">
        <v>37036</v>
      </c>
      <c r="AA57" s="112">
        <v>38278</v>
      </c>
      <c r="AB57" s="195">
        <v>39645</v>
      </c>
      <c r="AC57" s="112">
        <v>41960</v>
      </c>
      <c r="AD57" s="112">
        <v>44095</v>
      </c>
      <c r="AE57" s="112">
        <v>46930</v>
      </c>
      <c r="AF57" s="195">
        <v>49694</v>
      </c>
      <c r="AG57" s="112">
        <v>52473</v>
      </c>
      <c r="AH57" s="112">
        <v>56515</v>
      </c>
      <c r="AI57" s="112">
        <v>58711</v>
      </c>
      <c r="AJ57" s="195">
        <v>60343</v>
      </c>
      <c r="AK57" s="112">
        <v>60618</v>
      </c>
      <c r="AL57" s="112">
        <v>61219</v>
      </c>
      <c r="AM57" s="112">
        <v>61921</v>
      </c>
      <c r="AN57" s="195">
        <v>63604</v>
      </c>
      <c r="AO57" s="112">
        <v>64996</v>
      </c>
      <c r="AP57" s="112">
        <v>63616</v>
      </c>
    </row>
    <row r="58" spans="1:42">
      <c r="A58" s="111" t="s">
        <v>210</v>
      </c>
      <c r="B58" s="112">
        <v>21727</v>
      </c>
      <c r="C58" s="112">
        <v>23167</v>
      </c>
      <c r="D58" s="112">
        <v>21674</v>
      </c>
      <c r="E58" s="112">
        <v>23086</v>
      </c>
      <c r="F58" s="112">
        <v>29518</v>
      </c>
      <c r="G58" s="112">
        <v>34033</v>
      </c>
      <c r="H58" s="112">
        <v>34485</v>
      </c>
      <c r="I58" s="112">
        <v>39794</v>
      </c>
      <c r="J58" s="112">
        <v>48815</v>
      </c>
      <c r="K58" s="112">
        <v>60153</v>
      </c>
      <c r="L58" s="112"/>
      <c r="M58" s="112">
        <v>21066</v>
      </c>
      <c r="N58" s="112">
        <v>21518</v>
      </c>
      <c r="O58" s="112">
        <v>21826</v>
      </c>
      <c r="P58" s="195">
        <v>23086</v>
      </c>
      <c r="Q58" s="112">
        <v>25173</v>
      </c>
      <c r="R58" s="112">
        <v>26794</v>
      </c>
      <c r="S58" s="112">
        <v>28050</v>
      </c>
      <c r="T58" s="195">
        <v>29518</v>
      </c>
      <c r="U58" s="112">
        <v>31092</v>
      </c>
      <c r="V58" s="112">
        <v>32065</v>
      </c>
      <c r="W58" s="112">
        <v>33313</v>
      </c>
      <c r="X58" s="195">
        <v>34033</v>
      </c>
      <c r="Y58" s="112">
        <v>35029</v>
      </c>
      <c r="Z58" s="112">
        <v>34608</v>
      </c>
      <c r="AA58" s="112">
        <v>34468</v>
      </c>
      <c r="AB58" s="195">
        <v>34485</v>
      </c>
      <c r="AC58" s="112">
        <v>35195</v>
      </c>
      <c r="AD58" s="112">
        <v>35491</v>
      </c>
      <c r="AE58" s="112">
        <v>37663</v>
      </c>
      <c r="AF58" s="195">
        <v>39794</v>
      </c>
      <c r="AG58" s="112">
        <v>42208</v>
      </c>
      <c r="AH58" s="112">
        <v>44463</v>
      </c>
      <c r="AI58" s="112">
        <v>47040</v>
      </c>
      <c r="AJ58" s="195">
        <v>48815</v>
      </c>
      <c r="AK58" s="112">
        <v>52087</v>
      </c>
      <c r="AL58" s="112">
        <v>54757</v>
      </c>
      <c r="AM58" s="112">
        <v>57310</v>
      </c>
      <c r="AN58" s="195">
        <v>60153</v>
      </c>
      <c r="AO58" s="112">
        <v>62667</v>
      </c>
      <c r="AP58" s="112">
        <v>62511</v>
      </c>
    </row>
    <row r="59" spans="1:42" ht="10.5">
      <c r="A59" s="113" t="s">
        <v>98</v>
      </c>
      <c r="B59" s="114">
        <v>1.3</v>
      </c>
      <c r="C59" s="118">
        <v>1.2</v>
      </c>
      <c r="D59" s="118">
        <v>1.4</v>
      </c>
      <c r="E59" s="118">
        <v>1.6583643766785066</v>
      </c>
      <c r="F59" s="118">
        <v>1.383855647222024</v>
      </c>
      <c r="G59" s="118">
        <v>1.1000000000000001</v>
      </c>
      <c r="H59" s="118">
        <v>1.1000000000000001</v>
      </c>
      <c r="I59" s="118">
        <v>1.2</v>
      </c>
      <c r="J59" s="118">
        <v>1.2361569189798218</v>
      </c>
      <c r="K59" s="118">
        <v>1.1000000000000001</v>
      </c>
      <c r="L59" s="119"/>
      <c r="M59" s="118">
        <v>1.5278648058482864</v>
      </c>
      <c r="N59" s="118">
        <v>1.5870898782414722</v>
      </c>
      <c r="O59" s="118">
        <v>1.6581599926692936</v>
      </c>
      <c r="P59" s="199">
        <v>1.6583643766785066</v>
      </c>
      <c r="Q59" s="118">
        <v>1.582515188843074</v>
      </c>
      <c r="R59" s="118">
        <v>1.5160357373809099</v>
      </c>
      <c r="S59" s="118">
        <v>1.4662103187712228</v>
      </c>
      <c r="T59" s="199">
        <v>1.383855647222024</v>
      </c>
      <c r="U59" s="118">
        <v>1.3</v>
      </c>
      <c r="V59" s="118">
        <v>1.1859971932013098</v>
      </c>
      <c r="W59" s="118">
        <v>1.098550115570498</v>
      </c>
      <c r="X59" s="199">
        <v>1.0613816002115595</v>
      </c>
      <c r="Y59" s="118">
        <v>1.0209255188558053</v>
      </c>
      <c r="Z59" s="118">
        <v>1.1000000000000001</v>
      </c>
      <c r="AA59" s="118">
        <v>1.1105373099686666</v>
      </c>
      <c r="AB59" s="199">
        <v>1.1498636811880039</v>
      </c>
      <c r="AC59" s="118">
        <v>1.1922148032390965</v>
      </c>
      <c r="AD59" s="118">
        <v>1.2424276577160407</v>
      </c>
      <c r="AE59" s="118">
        <v>1.2460505004911984</v>
      </c>
      <c r="AF59" s="199">
        <v>1.2487812232999951</v>
      </c>
      <c r="AG59" s="118">
        <v>1.2432003411675512</v>
      </c>
      <c r="AH59" s="118">
        <v>1.3</v>
      </c>
      <c r="AI59" s="118">
        <v>1.2481079931972789</v>
      </c>
      <c r="AJ59" s="199">
        <v>1.2361569189798218</v>
      </c>
      <c r="AK59" s="118">
        <v>1.1637836696296582</v>
      </c>
      <c r="AL59" s="118">
        <v>1.1180123089285388</v>
      </c>
      <c r="AM59" s="118">
        <v>1.0804746117606003</v>
      </c>
      <c r="AN59" s="199">
        <v>1.0573537479427459</v>
      </c>
      <c r="AO59" s="118">
        <v>1</v>
      </c>
      <c r="AP59" s="118">
        <v>1.0176608916830638</v>
      </c>
    </row>
    <row r="60" spans="1:42" ht="10.5">
      <c r="A60" s="51" t="s">
        <v>133</v>
      </c>
      <c r="B60" s="124"/>
      <c r="C60" s="124"/>
      <c r="D60" s="123"/>
      <c r="E60" s="124"/>
      <c r="F60" s="124"/>
      <c r="G60" s="124"/>
      <c r="H60" s="124"/>
      <c r="I60" s="124"/>
      <c r="J60" s="124"/>
      <c r="K60" s="124"/>
      <c r="L60" s="125"/>
      <c r="M60" s="124"/>
      <c r="N60" s="124"/>
      <c r="O60" s="124"/>
      <c r="P60" s="200"/>
      <c r="Q60" s="124"/>
      <c r="R60" s="124"/>
      <c r="S60" s="124"/>
      <c r="T60" s="207"/>
      <c r="U60" s="124"/>
      <c r="V60" s="124"/>
      <c r="W60" s="124"/>
      <c r="X60" s="207"/>
      <c r="Y60" s="124"/>
      <c r="Z60" s="124"/>
      <c r="AA60" s="124"/>
      <c r="AB60" s="207"/>
      <c r="AC60" s="124"/>
      <c r="AD60" s="124"/>
      <c r="AE60" s="124"/>
      <c r="AF60" s="207"/>
      <c r="AG60" s="124"/>
      <c r="AH60" s="124"/>
      <c r="AI60" s="124"/>
      <c r="AJ60" s="207"/>
      <c r="AK60" s="124"/>
      <c r="AL60" s="124"/>
      <c r="AM60" s="124"/>
      <c r="AN60" s="207"/>
      <c r="AO60" s="124"/>
      <c r="AP60" s="124"/>
    </row>
    <row r="61" spans="1:42" ht="10.5">
      <c r="A61" s="51" t="s">
        <v>148</v>
      </c>
      <c r="B61" s="124"/>
      <c r="C61" s="124"/>
      <c r="D61" s="123"/>
      <c r="E61" s="124"/>
      <c r="F61" s="124"/>
      <c r="G61" s="124"/>
      <c r="H61" s="124"/>
      <c r="I61" s="124"/>
      <c r="J61" s="124"/>
      <c r="K61" s="124"/>
      <c r="L61" s="125"/>
      <c r="M61" s="124"/>
      <c r="N61" s="124"/>
      <c r="O61" s="124"/>
      <c r="P61" s="200"/>
      <c r="Q61" s="124"/>
      <c r="R61" s="124"/>
      <c r="S61" s="124"/>
      <c r="T61" s="207"/>
      <c r="U61" s="124"/>
      <c r="V61" s="124"/>
      <c r="W61" s="124"/>
      <c r="X61" s="207"/>
      <c r="Y61" s="124"/>
      <c r="Z61" s="124"/>
      <c r="AA61" s="124"/>
      <c r="AB61" s="207"/>
      <c r="AC61" s="124"/>
      <c r="AD61" s="124"/>
      <c r="AE61" s="124"/>
      <c r="AF61" s="207"/>
      <c r="AG61" s="124"/>
      <c r="AH61" s="124"/>
      <c r="AI61" s="124"/>
      <c r="AJ61" s="207"/>
      <c r="AK61" s="124"/>
      <c r="AL61" s="124"/>
      <c r="AM61" s="124"/>
      <c r="AN61" s="207"/>
      <c r="AO61" s="124"/>
      <c r="AP61" s="124"/>
    </row>
    <row r="62" spans="1:42">
      <c r="A62" s="51" t="s">
        <v>149</v>
      </c>
      <c r="B62" s="107"/>
      <c r="C62" s="107"/>
      <c r="D62" s="317"/>
      <c r="E62" s="107"/>
      <c r="F62" s="107"/>
      <c r="G62" s="107"/>
      <c r="H62" s="107"/>
      <c r="I62" s="107"/>
      <c r="J62" s="107"/>
      <c r="K62" s="107"/>
      <c r="L62" s="107"/>
      <c r="M62" s="107"/>
      <c r="N62" s="107"/>
      <c r="O62" s="107"/>
      <c r="P62" s="194"/>
      <c r="Q62" s="107"/>
      <c r="R62" s="107"/>
      <c r="S62" s="107"/>
      <c r="T62" s="194"/>
      <c r="U62" s="107"/>
      <c r="V62" s="107"/>
      <c r="W62" s="107"/>
      <c r="X62" s="194"/>
      <c r="Y62" s="107"/>
      <c r="Z62" s="107"/>
      <c r="AA62" s="107"/>
      <c r="AB62" s="194"/>
      <c r="AC62" s="107"/>
      <c r="AD62" s="107"/>
      <c r="AE62" s="107"/>
      <c r="AF62" s="194"/>
      <c r="AG62" s="107"/>
      <c r="AH62" s="107"/>
      <c r="AI62" s="107"/>
      <c r="AJ62" s="194"/>
      <c r="AK62" s="107"/>
      <c r="AL62" s="107"/>
      <c r="AM62" s="107"/>
      <c r="AN62" s="194"/>
      <c r="AO62" s="107"/>
      <c r="AP62" s="107"/>
    </row>
    <row r="63" spans="1:42">
      <c r="A63" s="107"/>
      <c r="B63" s="107"/>
      <c r="C63" s="107"/>
      <c r="D63" s="317"/>
      <c r="E63" s="107"/>
      <c r="F63" s="107"/>
      <c r="G63" s="107"/>
      <c r="H63" s="107"/>
      <c r="I63" s="107"/>
      <c r="J63" s="107"/>
      <c r="K63" s="107"/>
      <c r="L63" s="107"/>
      <c r="M63" s="107"/>
      <c r="N63" s="107"/>
      <c r="O63" s="107"/>
      <c r="P63" s="194"/>
      <c r="Q63" s="107"/>
      <c r="R63" s="107"/>
      <c r="S63" s="107"/>
      <c r="T63" s="194"/>
      <c r="U63" s="107"/>
      <c r="V63" s="107"/>
      <c r="W63" s="107"/>
      <c r="X63" s="194"/>
      <c r="Y63" s="107"/>
      <c r="Z63" s="107"/>
      <c r="AA63" s="107"/>
      <c r="AB63" s="194"/>
      <c r="AC63" s="107"/>
      <c r="AD63" s="107"/>
      <c r="AE63" s="107"/>
      <c r="AF63" s="194"/>
      <c r="AG63" s="107"/>
      <c r="AH63" s="107"/>
      <c r="AI63" s="107"/>
      <c r="AJ63" s="194"/>
      <c r="AK63" s="107"/>
      <c r="AL63" s="107"/>
      <c r="AM63" s="107"/>
      <c r="AN63" s="194"/>
      <c r="AO63" s="107"/>
      <c r="AP63" s="107"/>
    </row>
    <row r="64" spans="1:42" ht="12.5">
      <c r="A64" s="585" t="s">
        <v>150</v>
      </c>
      <c r="B64" s="110" t="s">
        <v>232</v>
      </c>
      <c r="C64" s="110" t="s">
        <v>233</v>
      </c>
      <c r="D64" s="110" t="s">
        <v>234</v>
      </c>
      <c r="E64" s="110" t="s">
        <v>235</v>
      </c>
      <c r="F64" s="110" t="s">
        <v>236</v>
      </c>
      <c r="G64" s="110" t="s">
        <v>237</v>
      </c>
      <c r="H64" s="110" t="s">
        <v>363</v>
      </c>
      <c r="I64" s="110" t="s">
        <v>451</v>
      </c>
      <c r="J64" s="110" t="s">
        <v>854</v>
      </c>
      <c r="K64" s="110" t="s">
        <v>1043</v>
      </c>
      <c r="L64" s="123"/>
      <c r="M64" s="324" t="s">
        <v>764</v>
      </c>
      <c r="N64" s="324" t="s">
        <v>765</v>
      </c>
      <c r="O64" s="324" t="s">
        <v>766</v>
      </c>
      <c r="P64" s="586" t="s">
        <v>767</v>
      </c>
      <c r="Q64" s="324" t="s">
        <v>768</v>
      </c>
      <c r="R64" s="324" t="s">
        <v>730</v>
      </c>
      <c r="S64" s="324" t="s">
        <v>731</v>
      </c>
      <c r="T64" s="586" t="s">
        <v>732</v>
      </c>
      <c r="U64" s="324" t="s">
        <v>733</v>
      </c>
      <c r="V64" s="324" t="s">
        <v>626</v>
      </c>
      <c r="W64" s="324" t="s">
        <v>620</v>
      </c>
      <c r="X64" s="586" t="s">
        <v>619</v>
      </c>
      <c r="Y64" s="324" t="s">
        <v>614</v>
      </c>
      <c r="Z64" s="324" t="s">
        <v>604</v>
      </c>
      <c r="AA64" s="324" t="s">
        <v>589</v>
      </c>
      <c r="AB64" s="586" t="s">
        <v>587</v>
      </c>
      <c r="AC64" s="324" t="s">
        <v>504</v>
      </c>
      <c r="AD64" s="324" t="s">
        <v>551</v>
      </c>
      <c r="AE64" s="324" t="s">
        <v>532</v>
      </c>
      <c r="AF64" s="586" t="s">
        <v>530</v>
      </c>
      <c r="AG64" s="324" t="s">
        <v>803</v>
      </c>
      <c r="AH64" s="324" t="s">
        <v>812</v>
      </c>
      <c r="AI64" s="324" t="s">
        <v>816</v>
      </c>
      <c r="AJ64" s="586" t="s">
        <v>835</v>
      </c>
      <c r="AK64" s="324" t="s">
        <v>872</v>
      </c>
      <c r="AL64" s="324" t="s">
        <v>986</v>
      </c>
      <c r="AM64" s="324" t="s">
        <v>1016</v>
      </c>
      <c r="AN64" s="586" t="s">
        <v>1039</v>
      </c>
      <c r="AO64" s="324" t="s">
        <v>1076</v>
      </c>
      <c r="AP64" s="324" t="s">
        <v>1285</v>
      </c>
    </row>
    <row r="65" spans="1:42">
      <c r="A65" s="111" t="s">
        <v>747</v>
      </c>
      <c r="B65" s="112">
        <v>5175</v>
      </c>
      <c r="C65" s="112">
        <v>4548</v>
      </c>
      <c r="D65" s="112">
        <v>5930</v>
      </c>
      <c r="E65" s="112">
        <v>7385</v>
      </c>
      <c r="F65" s="112">
        <v>8136.0009848372001</v>
      </c>
      <c r="G65" s="112">
        <v>7382</v>
      </c>
      <c r="H65" s="112">
        <v>8995</v>
      </c>
      <c r="I65" s="112">
        <v>11147</v>
      </c>
      <c r="J65" s="112">
        <v>13183</v>
      </c>
      <c r="K65" s="112">
        <v>12385</v>
      </c>
      <c r="L65" s="112"/>
      <c r="M65" s="112">
        <v>6031</v>
      </c>
      <c r="N65" s="112">
        <v>6373</v>
      </c>
      <c r="O65" s="112">
        <v>6751</v>
      </c>
      <c r="P65" s="195">
        <v>7385</v>
      </c>
      <c r="Q65" s="112">
        <v>7800.0471575894999</v>
      </c>
      <c r="R65" s="112">
        <v>8252.5813732372008</v>
      </c>
      <c r="S65" s="112">
        <v>8281.6837509285997</v>
      </c>
      <c r="T65" s="195">
        <v>8136.0009848372001</v>
      </c>
      <c r="U65" s="112">
        <v>8138</v>
      </c>
      <c r="V65" s="112">
        <v>7293</v>
      </c>
      <c r="W65" s="112">
        <v>7186</v>
      </c>
      <c r="X65" s="195">
        <v>7382</v>
      </c>
      <c r="Y65" s="112">
        <v>7317</v>
      </c>
      <c r="Z65" s="112">
        <v>8082</v>
      </c>
      <c r="AA65" s="112">
        <v>8613</v>
      </c>
      <c r="AB65" s="195">
        <v>8995</v>
      </c>
      <c r="AC65" s="112">
        <v>9760</v>
      </c>
      <c r="AD65" s="112">
        <v>9958</v>
      </c>
      <c r="AE65" s="112">
        <v>10506</v>
      </c>
      <c r="AF65" s="195">
        <v>11147</v>
      </c>
      <c r="AG65" s="112">
        <v>11677</v>
      </c>
      <c r="AH65" s="112">
        <v>12709</v>
      </c>
      <c r="AI65" s="112">
        <v>13069</v>
      </c>
      <c r="AJ65" s="195">
        <v>13183</v>
      </c>
      <c r="AK65" s="112">
        <v>12782</v>
      </c>
      <c r="AL65" s="112">
        <v>12290</v>
      </c>
      <c r="AM65" s="112">
        <v>12306</v>
      </c>
      <c r="AN65" s="195">
        <v>12385</v>
      </c>
      <c r="AO65" s="112">
        <v>12713</v>
      </c>
      <c r="AP65" s="112">
        <v>12623</v>
      </c>
    </row>
    <row r="66" spans="1:42">
      <c r="A66" s="111" t="s">
        <v>210</v>
      </c>
      <c r="B66" s="112">
        <v>21727</v>
      </c>
      <c r="C66" s="112">
        <v>23167</v>
      </c>
      <c r="D66" s="112">
        <v>21674</v>
      </c>
      <c r="E66" s="112">
        <v>23086</v>
      </c>
      <c r="F66" s="112">
        <v>29518</v>
      </c>
      <c r="G66" s="112">
        <v>34033</v>
      </c>
      <c r="H66" s="112">
        <v>34485</v>
      </c>
      <c r="I66" s="112">
        <v>39794</v>
      </c>
      <c r="J66" s="112">
        <v>48815</v>
      </c>
      <c r="K66" s="112">
        <v>60153</v>
      </c>
      <c r="L66" s="112"/>
      <c r="M66" s="112">
        <v>21066</v>
      </c>
      <c r="N66" s="112">
        <v>21518</v>
      </c>
      <c r="O66" s="112">
        <v>21826</v>
      </c>
      <c r="P66" s="195">
        <v>23086</v>
      </c>
      <c r="Q66" s="112">
        <v>25173</v>
      </c>
      <c r="R66" s="112">
        <v>26794</v>
      </c>
      <c r="S66" s="112">
        <v>28050</v>
      </c>
      <c r="T66" s="195">
        <v>29518</v>
      </c>
      <c r="U66" s="112">
        <v>31092</v>
      </c>
      <c r="V66" s="112">
        <v>32065</v>
      </c>
      <c r="W66" s="112">
        <v>33313</v>
      </c>
      <c r="X66" s="195">
        <v>34033</v>
      </c>
      <c r="Y66" s="112">
        <v>35029</v>
      </c>
      <c r="Z66" s="112">
        <v>34608</v>
      </c>
      <c r="AA66" s="112">
        <v>34468</v>
      </c>
      <c r="AB66" s="195">
        <v>34485</v>
      </c>
      <c r="AC66" s="112">
        <v>35195</v>
      </c>
      <c r="AD66" s="112">
        <v>35491</v>
      </c>
      <c r="AE66" s="112">
        <v>37663</v>
      </c>
      <c r="AF66" s="195">
        <v>39794</v>
      </c>
      <c r="AG66" s="112">
        <v>42208</v>
      </c>
      <c r="AH66" s="112">
        <v>44463</v>
      </c>
      <c r="AI66" s="112">
        <v>47040</v>
      </c>
      <c r="AJ66" s="195">
        <v>48815</v>
      </c>
      <c r="AK66" s="112">
        <v>52087</v>
      </c>
      <c r="AL66" s="112">
        <v>54757</v>
      </c>
      <c r="AM66" s="112">
        <v>57310</v>
      </c>
      <c r="AN66" s="195">
        <v>60153</v>
      </c>
      <c r="AO66" s="112">
        <v>62667</v>
      </c>
      <c r="AP66" s="112">
        <v>62511</v>
      </c>
    </row>
    <row r="67" spans="1:42" ht="10.5">
      <c r="A67" s="113" t="s">
        <v>151</v>
      </c>
      <c r="B67" s="118">
        <v>23.8</v>
      </c>
      <c r="C67" s="118">
        <v>19.600000000000001</v>
      </c>
      <c r="D67" s="118">
        <v>27.4</v>
      </c>
      <c r="E67" s="118">
        <v>32</v>
      </c>
      <c r="F67" s="118">
        <v>27.6</v>
      </c>
      <c r="G67" s="118">
        <v>21.7</v>
      </c>
      <c r="H67" s="118">
        <v>26.1</v>
      </c>
      <c r="I67" s="118">
        <v>28.011760566919637</v>
      </c>
      <c r="J67" s="118">
        <v>27</v>
      </c>
      <c r="K67" s="118">
        <v>20.6</v>
      </c>
      <c r="L67" s="119"/>
      <c r="M67" s="118">
        <v>28.629070540206968</v>
      </c>
      <c r="N67" s="118">
        <v>29.617064782972395</v>
      </c>
      <c r="O67" s="118">
        <v>30.930999725098506</v>
      </c>
      <c r="P67" s="199">
        <v>31.989084293511215</v>
      </c>
      <c r="Q67" s="118">
        <v>30.985767121874623</v>
      </c>
      <c r="R67" s="118">
        <v>30.800109626174521</v>
      </c>
      <c r="S67" s="118">
        <v>29.524719254647415</v>
      </c>
      <c r="T67" s="199">
        <v>27.562846347439528</v>
      </c>
      <c r="U67" s="118">
        <v>26.17</v>
      </c>
      <c r="V67" s="118">
        <v>22.741306720723532</v>
      </c>
      <c r="W67" s="118">
        <v>21.571158406628044</v>
      </c>
      <c r="X67" s="199">
        <v>21.7</v>
      </c>
      <c r="Y67" s="118">
        <v>20.888406748693939</v>
      </c>
      <c r="Z67" s="118">
        <v>23.4</v>
      </c>
      <c r="AA67" s="118">
        <v>24.988395033074156</v>
      </c>
      <c r="AB67" s="199">
        <v>26.1</v>
      </c>
      <c r="AC67" s="118">
        <v>27.731211819860775</v>
      </c>
      <c r="AD67" s="118">
        <v>28.057817474852779</v>
      </c>
      <c r="AE67" s="118">
        <v>27.894750816451158</v>
      </c>
      <c r="AF67" s="199">
        <v>28.011760566919637</v>
      </c>
      <c r="AG67" s="118">
        <v>27.665371493555725</v>
      </c>
      <c r="AH67" s="118">
        <v>28.6</v>
      </c>
      <c r="AI67" s="118">
        <v>27.782738095238095</v>
      </c>
      <c r="AJ67" s="199">
        <v>27.006043224418725</v>
      </c>
      <c r="AK67" s="118">
        <v>24.539712404246742</v>
      </c>
      <c r="AL67" s="118">
        <v>22.444618952827948</v>
      </c>
      <c r="AM67" s="118">
        <v>21.4726923748037</v>
      </c>
      <c r="AN67" s="199">
        <v>20.589164297707512</v>
      </c>
      <c r="AO67" s="118">
        <v>20.3</v>
      </c>
      <c r="AP67" s="118">
        <v>20.193245988705989</v>
      </c>
    </row>
    <row r="68" spans="1:42" ht="10.5">
      <c r="A68" s="51" t="s">
        <v>133</v>
      </c>
      <c r="B68" s="124"/>
      <c r="C68" s="124"/>
      <c r="D68" s="123"/>
      <c r="E68" s="124"/>
      <c r="F68" s="124"/>
      <c r="G68" s="124"/>
      <c r="H68" s="124"/>
      <c r="I68" s="124"/>
      <c r="J68" s="124"/>
      <c r="K68" s="124"/>
      <c r="L68" s="125"/>
      <c r="M68" s="124"/>
      <c r="N68" s="124"/>
      <c r="O68" s="124"/>
      <c r="P68" s="200"/>
      <c r="Q68" s="124"/>
      <c r="R68" s="124"/>
      <c r="S68" s="124"/>
      <c r="T68" s="207"/>
      <c r="U68" s="124"/>
      <c r="V68" s="124"/>
      <c r="W68" s="124"/>
      <c r="X68" s="207"/>
      <c r="Y68" s="124"/>
      <c r="Z68" s="124"/>
      <c r="AA68" s="124"/>
      <c r="AB68" s="207"/>
      <c r="AC68" s="124"/>
      <c r="AD68" s="124"/>
      <c r="AE68" s="124"/>
      <c r="AF68" s="207"/>
      <c r="AG68" s="124"/>
      <c r="AH68" s="124"/>
      <c r="AI68" s="124"/>
      <c r="AJ68" s="207"/>
      <c r="AK68" s="124"/>
      <c r="AL68" s="124"/>
      <c r="AM68" s="124"/>
      <c r="AN68" s="207"/>
      <c r="AO68" s="124"/>
      <c r="AP68" s="124"/>
    </row>
    <row r="69" spans="1:42" ht="10.5">
      <c r="A69" s="51" t="s">
        <v>148</v>
      </c>
      <c r="B69" s="124"/>
      <c r="C69" s="124"/>
      <c r="D69" s="123"/>
      <c r="E69" s="124"/>
      <c r="F69" s="124"/>
      <c r="G69" s="124"/>
      <c r="H69" s="124"/>
      <c r="I69" s="124"/>
      <c r="J69" s="124"/>
      <c r="K69" s="124"/>
      <c r="L69" s="125"/>
      <c r="M69" s="124"/>
      <c r="N69" s="124"/>
      <c r="O69" s="124"/>
      <c r="P69" s="200"/>
      <c r="Q69" s="124"/>
      <c r="R69" s="124"/>
      <c r="S69" s="124"/>
      <c r="T69" s="207"/>
      <c r="U69" s="124"/>
      <c r="V69" s="124"/>
      <c r="W69" s="124"/>
      <c r="X69" s="207"/>
      <c r="Y69" s="124"/>
      <c r="Z69" s="124"/>
      <c r="AA69" s="124"/>
      <c r="AB69" s="207"/>
      <c r="AC69" s="124"/>
      <c r="AD69" s="124"/>
      <c r="AE69" s="124"/>
      <c r="AF69" s="207"/>
      <c r="AG69" s="124"/>
      <c r="AH69" s="124"/>
      <c r="AI69" s="124"/>
      <c r="AJ69" s="207"/>
      <c r="AK69" s="124"/>
      <c r="AL69" s="124"/>
      <c r="AM69" s="124"/>
      <c r="AN69" s="207"/>
      <c r="AO69" s="124"/>
      <c r="AP69" s="124"/>
    </row>
    <row r="70" spans="1:42">
      <c r="A70" s="51" t="s">
        <v>149</v>
      </c>
      <c r="B70" s="107"/>
      <c r="C70" s="107"/>
      <c r="D70" s="317"/>
      <c r="E70" s="107"/>
      <c r="F70" s="107"/>
      <c r="G70" s="107"/>
      <c r="H70" s="107"/>
      <c r="I70" s="107"/>
      <c r="J70" s="107"/>
      <c r="K70" s="107"/>
      <c r="L70" s="107"/>
      <c r="M70" s="107"/>
      <c r="N70" s="107"/>
      <c r="O70" s="107"/>
      <c r="P70" s="194"/>
      <c r="Q70" s="107"/>
      <c r="R70" s="107"/>
      <c r="S70" s="107"/>
      <c r="T70" s="194"/>
      <c r="U70" s="107"/>
      <c r="V70" s="107"/>
      <c r="W70" s="107"/>
      <c r="X70" s="194"/>
      <c r="Y70" s="107"/>
      <c r="Z70" s="107"/>
      <c r="AA70" s="107"/>
      <c r="AB70" s="194"/>
      <c r="AC70" s="107"/>
      <c r="AD70" s="107"/>
      <c r="AE70" s="107"/>
      <c r="AF70" s="194"/>
      <c r="AG70" s="107"/>
      <c r="AH70" s="107"/>
      <c r="AI70" s="107"/>
      <c r="AJ70" s="194"/>
      <c r="AK70" s="107"/>
      <c r="AL70" s="107"/>
      <c r="AM70" s="107"/>
      <c r="AN70" s="194"/>
      <c r="AO70" s="107"/>
      <c r="AP70" s="107"/>
    </row>
    <row r="71" spans="1:42">
      <c r="A71" s="107"/>
      <c r="B71" s="107"/>
      <c r="C71" s="107"/>
      <c r="D71" s="317"/>
      <c r="E71" s="107"/>
      <c r="F71" s="107"/>
      <c r="G71" s="107"/>
      <c r="H71" s="107"/>
      <c r="I71" s="107"/>
      <c r="J71" s="107"/>
      <c r="K71" s="107"/>
      <c r="L71" s="107"/>
      <c r="M71" s="107"/>
      <c r="N71" s="107"/>
      <c r="O71" s="107"/>
      <c r="P71" s="194"/>
      <c r="Q71" s="107"/>
      <c r="R71" s="107"/>
      <c r="S71" s="107"/>
      <c r="T71" s="194"/>
      <c r="U71" s="107"/>
      <c r="V71" s="107"/>
      <c r="W71" s="107"/>
      <c r="X71" s="194"/>
      <c r="Y71" s="107"/>
      <c r="Z71" s="107"/>
      <c r="AA71" s="107"/>
      <c r="AB71" s="194"/>
      <c r="AC71" s="107"/>
      <c r="AD71" s="107"/>
      <c r="AE71" s="107"/>
      <c r="AF71" s="194"/>
      <c r="AG71" s="107"/>
      <c r="AH71" s="107"/>
      <c r="AI71" s="107"/>
      <c r="AJ71" s="194"/>
      <c r="AK71" s="107"/>
      <c r="AL71" s="107"/>
      <c r="AM71" s="107"/>
      <c r="AN71" s="194"/>
      <c r="AO71" s="107"/>
      <c r="AP71" s="107"/>
    </row>
    <row r="72" spans="1:42" ht="12.5">
      <c r="A72" s="585" t="s">
        <v>152</v>
      </c>
      <c r="B72" s="110">
        <v>2015</v>
      </c>
      <c r="C72" s="110">
        <v>2016</v>
      </c>
      <c r="D72" s="110" t="s">
        <v>229</v>
      </c>
      <c r="E72" s="110">
        <v>2018</v>
      </c>
      <c r="F72" s="110">
        <v>2019</v>
      </c>
      <c r="G72" s="110">
        <v>2020</v>
      </c>
      <c r="H72" s="110">
        <v>2021</v>
      </c>
      <c r="I72" s="110">
        <v>2022</v>
      </c>
      <c r="J72" s="110">
        <v>2023</v>
      </c>
      <c r="K72" s="110">
        <v>2024</v>
      </c>
      <c r="L72" s="123"/>
      <c r="M72" s="324" t="s">
        <v>764</v>
      </c>
      <c r="N72" s="324" t="s">
        <v>765</v>
      </c>
      <c r="O72" s="324" t="s">
        <v>766</v>
      </c>
      <c r="P72" s="586" t="s">
        <v>767</v>
      </c>
      <c r="Q72" s="324" t="s">
        <v>768</v>
      </c>
      <c r="R72" s="324" t="s">
        <v>730</v>
      </c>
      <c r="S72" s="324" t="s">
        <v>731</v>
      </c>
      <c r="T72" s="586" t="s">
        <v>732</v>
      </c>
      <c r="U72" s="324" t="s">
        <v>733</v>
      </c>
      <c r="V72" s="324" t="s">
        <v>626</v>
      </c>
      <c r="W72" s="324" t="s">
        <v>620</v>
      </c>
      <c r="X72" s="586" t="s">
        <v>619</v>
      </c>
      <c r="Y72" s="324" t="s">
        <v>614</v>
      </c>
      <c r="Z72" s="324" t="s">
        <v>604</v>
      </c>
      <c r="AA72" s="324" t="s">
        <v>589</v>
      </c>
      <c r="AB72" s="586" t="s">
        <v>587</v>
      </c>
      <c r="AC72" s="324" t="s">
        <v>504</v>
      </c>
      <c r="AD72" s="324" t="s">
        <v>551</v>
      </c>
      <c r="AE72" s="324" t="s">
        <v>532</v>
      </c>
      <c r="AF72" s="586" t="s">
        <v>530</v>
      </c>
      <c r="AG72" s="324" t="s">
        <v>803</v>
      </c>
      <c r="AH72" s="324" t="s">
        <v>812</v>
      </c>
      <c r="AI72" s="324" t="s">
        <v>816</v>
      </c>
      <c r="AJ72" s="586" t="s">
        <v>835</v>
      </c>
      <c r="AK72" s="324" t="s">
        <v>872</v>
      </c>
      <c r="AL72" s="324" t="s">
        <v>986</v>
      </c>
      <c r="AM72" s="324" t="s">
        <v>1016</v>
      </c>
      <c r="AN72" s="586" t="s">
        <v>1039</v>
      </c>
      <c r="AO72" s="324" t="s">
        <v>1076</v>
      </c>
      <c r="AP72" s="324" t="s">
        <v>1285</v>
      </c>
    </row>
    <row r="73" spans="1:42">
      <c r="A73" s="111" t="s">
        <v>748</v>
      </c>
      <c r="B73" s="112">
        <v>7153</v>
      </c>
      <c r="C73" s="112">
        <v>7061</v>
      </c>
      <c r="D73" s="112">
        <v>8440</v>
      </c>
      <c r="E73" s="112">
        <v>10516</v>
      </c>
      <c r="F73" s="112">
        <v>10508</v>
      </c>
      <c r="G73" s="112">
        <v>8930</v>
      </c>
      <c r="H73" s="112">
        <v>11861</v>
      </c>
      <c r="I73" s="112">
        <v>16945</v>
      </c>
      <c r="J73" s="112">
        <v>18747</v>
      </c>
      <c r="K73" s="112">
        <v>19191</v>
      </c>
      <c r="L73" s="112"/>
      <c r="M73" s="112">
        <v>9746</v>
      </c>
      <c r="N73" s="112">
        <v>10664</v>
      </c>
      <c r="O73" s="112">
        <v>10789</v>
      </c>
      <c r="P73" s="195">
        <v>10516</v>
      </c>
      <c r="Q73" s="112">
        <v>11207</v>
      </c>
      <c r="R73" s="112">
        <v>11285</v>
      </c>
      <c r="S73" s="112">
        <v>11392</v>
      </c>
      <c r="T73" s="195">
        <v>10508</v>
      </c>
      <c r="U73" s="112">
        <v>10933</v>
      </c>
      <c r="V73" s="112">
        <v>10531</v>
      </c>
      <c r="W73" s="112">
        <v>9821</v>
      </c>
      <c r="X73" s="195">
        <v>8930</v>
      </c>
      <c r="Y73" s="112">
        <v>9808</v>
      </c>
      <c r="Z73" s="112">
        <v>10271</v>
      </c>
      <c r="AA73" s="112">
        <v>11199</v>
      </c>
      <c r="AB73" s="195">
        <v>11861</v>
      </c>
      <c r="AC73" s="112">
        <v>13245</v>
      </c>
      <c r="AD73" s="112">
        <v>15119</v>
      </c>
      <c r="AE73" s="112">
        <v>16634</v>
      </c>
      <c r="AF73" s="195">
        <v>16945</v>
      </c>
      <c r="AG73" s="112">
        <v>18930</v>
      </c>
      <c r="AH73" s="112">
        <v>20157</v>
      </c>
      <c r="AI73" s="112">
        <v>20031</v>
      </c>
      <c r="AJ73" s="195">
        <v>18747</v>
      </c>
      <c r="AK73" s="112">
        <v>20592</v>
      </c>
      <c r="AL73" s="112">
        <v>21373</v>
      </c>
      <c r="AM73" s="112">
        <v>20202</v>
      </c>
      <c r="AN73" s="195">
        <v>19191</v>
      </c>
      <c r="AO73" s="112">
        <v>18273</v>
      </c>
      <c r="AP73" s="112">
        <v>18018</v>
      </c>
    </row>
    <row r="74" spans="1:42">
      <c r="A74" s="111" t="s">
        <v>749</v>
      </c>
      <c r="B74" s="112">
        <v>6122</v>
      </c>
      <c r="C74" s="112">
        <v>6578</v>
      </c>
      <c r="D74" s="112">
        <v>6271</v>
      </c>
      <c r="E74" s="112">
        <v>8005</v>
      </c>
      <c r="F74" s="112">
        <v>7287</v>
      </c>
      <c r="G74" s="112">
        <v>6045</v>
      </c>
      <c r="H74" s="112">
        <v>7174</v>
      </c>
      <c r="I74" s="112">
        <v>9581</v>
      </c>
      <c r="J74" s="112">
        <v>10455</v>
      </c>
      <c r="K74" s="112">
        <v>12424</v>
      </c>
      <c r="L74" s="112"/>
      <c r="M74" s="112">
        <v>6909</v>
      </c>
      <c r="N74" s="112">
        <v>7898</v>
      </c>
      <c r="O74" s="112">
        <v>7821</v>
      </c>
      <c r="P74" s="195">
        <v>8005</v>
      </c>
      <c r="Q74" s="112">
        <v>8501</v>
      </c>
      <c r="R74" s="112">
        <v>8757</v>
      </c>
      <c r="S74" s="112">
        <v>8068</v>
      </c>
      <c r="T74" s="195">
        <v>7287</v>
      </c>
      <c r="U74" s="112">
        <v>7300</v>
      </c>
      <c r="V74" s="112">
        <v>6139</v>
      </c>
      <c r="W74" s="112">
        <v>6197</v>
      </c>
      <c r="X74" s="195">
        <v>6045</v>
      </c>
      <c r="Y74" s="112">
        <v>6391</v>
      </c>
      <c r="Z74" s="112">
        <v>6669</v>
      </c>
      <c r="AA74" s="112">
        <v>6765</v>
      </c>
      <c r="AB74" s="195">
        <v>7174</v>
      </c>
      <c r="AC74" s="112">
        <v>8225</v>
      </c>
      <c r="AD74" s="112">
        <v>8381</v>
      </c>
      <c r="AE74" s="112">
        <v>9174</v>
      </c>
      <c r="AF74" s="195">
        <v>9581</v>
      </c>
      <c r="AG74" s="112">
        <v>10088</v>
      </c>
      <c r="AH74" s="112">
        <v>11082</v>
      </c>
      <c r="AI74" s="112">
        <v>10832</v>
      </c>
      <c r="AJ74" s="195">
        <v>10455</v>
      </c>
      <c r="AK74" s="112">
        <v>10607</v>
      </c>
      <c r="AL74" s="112">
        <v>11271</v>
      </c>
      <c r="AM74" s="112">
        <v>10883</v>
      </c>
      <c r="AN74" s="195">
        <v>12424</v>
      </c>
      <c r="AO74" s="112">
        <v>11382</v>
      </c>
      <c r="AP74" s="112">
        <v>11790</v>
      </c>
    </row>
    <row r="75" spans="1:42">
      <c r="A75" s="111" t="s">
        <v>750</v>
      </c>
      <c r="B75" s="112">
        <v>-2214</v>
      </c>
      <c r="C75" s="112">
        <v>-2446</v>
      </c>
      <c r="D75" s="112">
        <v>-3966</v>
      </c>
      <c r="E75" s="112">
        <v>-4711</v>
      </c>
      <c r="F75" s="112">
        <v>-4050</v>
      </c>
      <c r="G75" s="112">
        <v>-3605</v>
      </c>
      <c r="H75" s="112">
        <v>-5512</v>
      </c>
      <c r="I75" s="112">
        <v>-6375</v>
      </c>
      <c r="J75" s="112">
        <v>-5902</v>
      </c>
      <c r="K75" s="112">
        <v>-5756</v>
      </c>
      <c r="L75" s="112"/>
      <c r="M75" s="112">
        <v>-4871</v>
      </c>
      <c r="N75" s="112">
        <v>-4749</v>
      </c>
      <c r="O75" s="112">
        <v>-4421</v>
      </c>
      <c r="P75" s="195">
        <v>-4711</v>
      </c>
      <c r="Q75" s="112">
        <v>-4575</v>
      </c>
      <c r="R75" s="112">
        <v>-4536</v>
      </c>
      <c r="S75" s="112">
        <v>-3701</v>
      </c>
      <c r="T75" s="195">
        <v>-4050</v>
      </c>
      <c r="U75" s="112">
        <v>-4108</v>
      </c>
      <c r="V75" s="112">
        <v>-3764</v>
      </c>
      <c r="W75" s="112">
        <v>-3431</v>
      </c>
      <c r="X75" s="195">
        <v>-3605</v>
      </c>
      <c r="Y75" s="112">
        <v>-4171</v>
      </c>
      <c r="Z75" s="112">
        <v>-4796</v>
      </c>
      <c r="AA75" s="112">
        <v>-4905</v>
      </c>
      <c r="AB75" s="195">
        <v>-5512</v>
      </c>
      <c r="AC75" s="112">
        <v>-6181</v>
      </c>
      <c r="AD75" s="112">
        <v>-6239</v>
      </c>
      <c r="AE75" s="112">
        <v>-6249</v>
      </c>
      <c r="AF75" s="195">
        <v>-6375</v>
      </c>
      <c r="AG75" s="112">
        <v>-7017</v>
      </c>
      <c r="AH75" s="112">
        <v>-7196</v>
      </c>
      <c r="AI75" s="112">
        <v>-6210</v>
      </c>
      <c r="AJ75" s="195">
        <v>-5902</v>
      </c>
      <c r="AK75" s="112">
        <v>-6213</v>
      </c>
      <c r="AL75" s="112">
        <v>-6151</v>
      </c>
      <c r="AM75" s="112">
        <v>-5314</v>
      </c>
      <c r="AN75" s="195">
        <v>-5756</v>
      </c>
      <c r="AO75" s="112">
        <v>-5564</v>
      </c>
      <c r="AP75" s="112">
        <v>-5900</v>
      </c>
    </row>
    <row r="76" spans="1:42">
      <c r="A76" s="111" t="s">
        <v>963</v>
      </c>
      <c r="B76" s="112">
        <v>-451</v>
      </c>
      <c r="C76" s="112">
        <v>-346</v>
      </c>
      <c r="D76" s="112">
        <v>-572</v>
      </c>
      <c r="E76" s="112">
        <v>-913.44890729360009</v>
      </c>
      <c r="F76" s="112">
        <v>-591.53879033500004</v>
      </c>
      <c r="G76" s="112">
        <v>-799</v>
      </c>
      <c r="H76" s="112">
        <v>-1337</v>
      </c>
      <c r="I76" s="112">
        <v>-1586</v>
      </c>
      <c r="J76" s="112">
        <v>-1564</v>
      </c>
      <c r="K76" s="112">
        <v>-1537</v>
      </c>
      <c r="L76" s="112"/>
      <c r="M76" s="112">
        <v>-629</v>
      </c>
      <c r="N76" s="112">
        <v>-711</v>
      </c>
      <c r="O76" s="112">
        <v>-724</v>
      </c>
      <c r="P76" s="195">
        <v>-913.44890729360009</v>
      </c>
      <c r="Q76" s="112">
        <v>-785.31213207259998</v>
      </c>
      <c r="R76" s="112">
        <v>-715.36444091190003</v>
      </c>
      <c r="S76" s="112">
        <v>-638.63430398390005</v>
      </c>
      <c r="T76" s="195">
        <v>-591.53879033500004</v>
      </c>
      <c r="U76" s="112">
        <v>-688</v>
      </c>
      <c r="V76" s="112">
        <v>-822</v>
      </c>
      <c r="W76" s="112">
        <v>-766</v>
      </c>
      <c r="X76" s="195">
        <v>-799</v>
      </c>
      <c r="Y76" s="112">
        <v>-783</v>
      </c>
      <c r="Z76" s="112">
        <v>-776</v>
      </c>
      <c r="AA76" s="112">
        <v>-956</v>
      </c>
      <c r="AB76" s="195">
        <v>-1337</v>
      </c>
      <c r="AC76" s="112">
        <v>-1496</v>
      </c>
      <c r="AD76" s="112">
        <v>-1700</v>
      </c>
      <c r="AE76" s="112">
        <v>-1815</v>
      </c>
      <c r="AF76" s="195">
        <v>-1586</v>
      </c>
      <c r="AG76" s="112">
        <v>-1559</v>
      </c>
      <c r="AH76" s="112">
        <v>-1623</v>
      </c>
      <c r="AI76" s="112">
        <v>-1675</v>
      </c>
      <c r="AJ76" s="195">
        <v>-1564</v>
      </c>
      <c r="AK76" s="112">
        <v>-1466</v>
      </c>
      <c r="AL76" s="112">
        <v>-1448</v>
      </c>
      <c r="AM76" s="112">
        <v>-1376</v>
      </c>
      <c r="AN76" s="195">
        <v>-1537</v>
      </c>
      <c r="AO76" s="112">
        <v>-1362</v>
      </c>
      <c r="AP76" s="112">
        <v>-1169</v>
      </c>
    </row>
    <row r="77" spans="1:42" ht="10.5">
      <c r="A77" s="113" t="s">
        <v>126</v>
      </c>
      <c r="B77" s="126">
        <v>10610</v>
      </c>
      <c r="C77" s="126">
        <v>10847</v>
      </c>
      <c r="D77" s="117">
        <v>10173</v>
      </c>
      <c r="E77" s="126">
        <v>12896.551092706401</v>
      </c>
      <c r="F77" s="126">
        <v>13153.461209665</v>
      </c>
      <c r="G77" s="126">
        <v>10571</v>
      </c>
      <c r="H77" s="126">
        <v>12186</v>
      </c>
      <c r="I77" s="126">
        <v>18564</v>
      </c>
      <c r="J77" s="126">
        <v>21736</v>
      </c>
      <c r="K77" s="126">
        <v>24322</v>
      </c>
      <c r="L77" s="127"/>
      <c r="M77" s="126">
        <v>11155</v>
      </c>
      <c r="N77" s="126">
        <v>13102</v>
      </c>
      <c r="O77" s="126">
        <v>13465</v>
      </c>
      <c r="P77" s="203">
        <v>12896.551092706401</v>
      </c>
      <c r="Q77" s="126">
        <v>14347.6878679274</v>
      </c>
      <c r="R77" s="126">
        <v>14790.635559088099</v>
      </c>
      <c r="S77" s="126">
        <v>15120.365696016101</v>
      </c>
      <c r="T77" s="203">
        <v>13153.461209665</v>
      </c>
      <c r="U77" s="126">
        <v>13457</v>
      </c>
      <c r="V77" s="126">
        <v>12084</v>
      </c>
      <c r="W77" s="126">
        <v>11821</v>
      </c>
      <c r="X77" s="203">
        <v>10571</v>
      </c>
      <c r="Y77" s="126">
        <v>11245</v>
      </c>
      <c r="Z77" s="126">
        <v>11368</v>
      </c>
      <c r="AA77" s="126">
        <v>12104</v>
      </c>
      <c r="AB77" s="203">
        <v>12186</v>
      </c>
      <c r="AC77" s="126">
        <v>13793</v>
      </c>
      <c r="AD77" s="126">
        <v>15561</v>
      </c>
      <c r="AE77" s="126">
        <v>17744</v>
      </c>
      <c r="AF77" s="203">
        <v>18564</v>
      </c>
      <c r="AG77" s="126">
        <v>20442</v>
      </c>
      <c r="AH77" s="126">
        <v>22420</v>
      </c>
      <c r="AI77" s="126">
        <v>22978</v>
      </c>
      <c r="AJ77" s="203">
        <v>21736</v>
      </c>
      <c r="AK77" s="126">
        <v>23520</v>
      </c>
      <c r="AL77" s="126">
        <v>25045</v>
      </c>
      <c r="AM77" s="126">
        <v>24395</v>
      </c>
      <c r="AN77" s="203">
        <v>24322</v>
      </c>
      <c r="AO77" s="126">
        <v>22729</v>
      </c>
      <c r="AP77" s="126">
        <v>22739</v>
      </c>
    </row>
    <row r="78" spans="1:42">
      <c r="A78" s="51" t="s">
        <v>133</v>
      </c>
      <c r="B78" s="107"/>
      <c r="C78" s="107"/>
      <c r="D78" s="317"/>
      <c r="E78" s="107"/>
      <c r="F78" s="107"/>
      <c r="G78" s="107"/>
      <c r="H78" s="107"/>
      <c r="I78" s="107"/>
      <c r="J78" s="107"/>
      <c r="K78" s="107"/>
      <c r="L78" s="107"/>
      <c r="M78" s="107"/>
      <c r="N78" s="107"/>
      <c r="O78" s="107"/>
      <c r="P78" s="194"/>
      <c r="Q78" s="107"/>
      <c r="R78" s="107"/>
      <c r="S78" s="107"/>
      <c r="T78" s="194"/>
      <c r="U78" s="107"/>
      <c r="V78" s="107"/>
      <c r="W78" s="107"/>
      <c r="X78" s="194"/>
      <c r="Y78" s="107"/>
      <c r="Z78" s="107"/>
      <c r="AA78" s="107"/>
      <c r="AB78" s="194"/>
      <c r="AC78" s="107"/>
      <c r="AD78" s="107"/>
      <c r="AE78" s="107"/>
      <c r="AF78" s="194"/>
      <c r="AG78" s="107"/>
      <c r="AH78" s="107"/>
      <c r="AI78" s="107"/>
      <c r="AJ78" s="194"/>
      <c r="AK78" s="107"/>
      <c r="AL78" s="107"/>
      <c r="AM78" s="107"/>
      <c r="AN78" s="194"/>
      <c r="AO78" s="107"/>
      <c r="AP78" s="107"/>
    </row>
    <row r="79" spans="1:42">
      <c r="A79" s="107"/>
      <c r="B79" s="107"/>
      <c r="C79" s="107"/>
      <c r="D79" s="317"/>
      <c r="E79" s="107"/>
      <c r="F79" s="107"/>
      <c r="G79" s="107"/>
      <c r="H79" s="107"/>
      <c r="I79" s="107"/>
      <c r="J79" s="107"/>
      <c r="K79" s="107"/>
      <c r="L79" s="107"/>
      <c r="M79" s="107"/>
      <c r="N79" s="107"/>
      <c r="O79" s="107"/>
      <c r="P79" s="194"/>
      <c r="Q79" s="107"/>
      <c r="R79" s="107"/>
      <c r="S79" s="107"/>
      <c r="T79" s="194"/>
      <c r="U79" s="107"/>
      <c r="V79" s="107"/>
      <c r="W79" s="107"/>
      <c r="X79" s="194"/>
      <c r="Y79" s="107"/>
      <c r="Z79" s="107"/>
      <c r="AA79" s="107"/>
      <c r="AB79" s="194"/>
      <c r="AC79" s="107"/>
      <c r="AD79" s="107"/>
      <c r="AE79" s="107"/>
      <c r="AF79" s="194"/>
      <c r="AG79" s="107"/>
      <c r="AH79" s="107"/>
      <c r="AI79" s="107"/>
      <c r="AJ79" s="194"/>
      <c r="AK79" s="107"/>
      <c r="AL79" s="107"/>
      <c r="AM79" s="107"/>
      <c r="AN79" s="194"/>
      <c r="AO79" s="107"/>
      <c r="AP79" s="107"/>
    </row>
    <row r="80" spans="1:42" ht="12.5">
      <c r="A80" s="585" t="s">
        <v>153</v>
      </c>
      <c r="B80" s="110" t="s">
        <v>232</v>
      </c>
      <c r="C80" s="110" t="s">
        <v>233</v>
      </c>
      <c r="D80" s="110" t="s">
        <v>234</v>
      </c>
      <c r="E80" s="110" t="s">
        <v>235</v>
      </c>
      <c r="F80" s="110" t="s">
        <v>236</v>
      </c>
      <c r="G80" s="110" t="s">
        <v>237</v>
      </c>
      <c r="H80" s="110" t="s">
        <v>363</v>
      </c>
      <c r="I80" s="110" t="s">
        <v>451</v>
      </c>
      <c r="J80" s="110" t="s">
        <v>854</v>
      </c>
      <c r="K80" s="110" t="s">
        <v>1043</v>
      </c>
      <c r="L80" s="123"/>
      <c r="M80" s="324" t="s">
        <v>764</v>
      </c>
      <c r="N80" s="324" t="s">
        <v>765</v>
      </c>
      <c r="O80" s="324" t="s">
        <v>766</v>
      </c>
      <c r="P80" s="586" t="s">
        <v>767</v>
      </c>
      <c r="Q80" s="324" t="s">
        <v>768</v>
      </c>
      <c r="R80" s="324" t="s">
        <v>730</v>
      </c>
      <c r="S80" s="324" t="s">
        <v>731</v>
      </c>
      <c r="T80" s="586" t="s">
        <v>732</v>
      </c>
      <c r="U80" s="324" t="s">
        <v>733</v>
      </c>
      <c r="V80" s="324" t="s">
        <v>626</v>
      </c>
      <c r="W80" s="324" t="s">
        <v>620</v>
      </c>
      <c r="X80" s="586" t="s">
        <v>619</v>
      </c>
      <c r="Y80" s="324" t="s">
        <v>614</v>
      </c>
      <c r="Z80" s="324" t="s">
        <v>604</v>
      </c>
      <c r="AA80" s="324" t="s">
        <v>589</v>
      </c>
      <c r="AB80" s="586" t="s">
        <v>587</v>
      </c>
      <c r="AC80" s="324" t="s">
        <v>504</v>
      </c>
      <c r="AD80" s="324" t="s">
        <v>551</v>
      </c>
      <c r="AE80" s="324" t="s">
        <v>532</v>
      </c>
      <c r="AF80" s="586" t="s">
        <v>530</v>
      </c>
      <c r="AG80" s="324" t="s">
        <v>803</v>
      </c>
      <c r="AH80" s="324" t="s">
        <v>812</v>
      </c>
      <c r="AI80" s="324" t="s">
        <v>816</v>
      </c>
      <c r="AJ80" s="586" t="s">
        <v>835</v>
      </c>
      <c r="AK80" s="324" t="s">
        <v>872</v>
      </c>
      <c r="AL80" s="324" t="s">
        <v>986</v>
      </c>
      <c r="AM80" s="324" t="s">
        <v>1016</v>
      </c>
      <c r="AN80" s="586" t="s">
        <v>1039</v>
      </c>
      <c r="AO80" s="324" t="s">
        <v>1076</v>
      </c>
      <c r="AP80" s="324" t="s">
        <v>1285</v>
      </c>
    </row>
    <row r="81" spans="1:142">
      <c r="A81" s="111" t="s">
        <v>746</v>
      </c>
      <c r="B81" s="112">
        <v>28663</v>
      </c>
      <c r="C81" s="112">
        <v>27102</v>
      </c>
      <c r="D81" s="112">
        <v>31364</v>
      </c>
      <c r="E81" s="112">
        <v>38285</v>
      </c>
      <c r="F81" s="112">
        <v>40848.650994699703</v>
      </c>
      <c r="G81" s="112">
        <v>36122</v>
      </c>
      <c r="H81" s="112">
        <v>39645</v>
      </c>
      <c r="I81" s="112">
        <v>49694</v>
      </c>
      <c r="J81" s="112">
        <v>60343</v>
      </c>
      <c r="K81" s="112">
        <v>63604</v>
      </c>
      <c r="L81" s="112"/>
      <c r="M81" s="112">
        <v>32186</v>
      </c>
      <c r="N81" s="112">
        <v>34151</v>
      </c>
      <c r="O81" s="112">
        <v>36191</v>
      </c>
      <c r="P81" s="195">
        <v>38285</v>
      </c>
      <c r="Q81" s="112">
        <v>39836.654848746701</v>
      </c>
      <c r="R81" s="112">
        <v>40620.661547384101</v>
      </c>
      <c r="S81" s="112">
        <v>41127.199441532801</v>
      </c>
      <c r="T81" s="195">
        <v>40848.650994699703</v>
      </c>
      <c r="U81" s="112">
        <v>40198</v>
      </c>
      <c r="V81" s="112">
        <v>38030</v>
      </c>
      <c r="W81" s="112">
        <v>36596</v>
      </c>
      <c r="X81" s="195">
        <v>36122</v>
      </c>
      <c r="Y81" s="112">
        <v>35762</v>
      </c>
      <c r="Z81" s="112">
        <v>37036</v>
      </c>
      <c r="AA81" s="112">
        <v>38278</v>
      </c>
      <c r="AB81" s="195">
        <v>39645</v>
      </c>
      <c r="AC81" s="112">
        <v>41960</v>
      </c>
      <c r="AD81" s="112">
        <v>44095</v>
      </c>
      <c r="AE81" s="112">
        <v>46930</v>
      </c>
      <c r="AF81" s="195">
        <v>49694</v>
      </c>
      <c r="AG81" s="112">
        <v>52473</v>
      </c>
      <c r="AH81" s="112">
        <v>56515</v>
      </c>
      <c r="AI81" s="112">
        <v>58711</v>
      </c>
      <c r="AJ81" s="195">
        <v>60343</v>
      </c>
      <c r="AK81" s="112">
        <v>60618</v>
      </c>
      <c r="AL81" s="112">
        <v>61219</v>
      </c>
      <c r="AM81" s="112">
        <v>61922</v>
      </c>
      <c r="AN81" s="195">
        <v>63604</v>
      </c>
      <c r="AO81" s="112">
        <v>64996</v>
      </c>
      <c r="AP81" s="112">
        <v>63616</v>
      </c>
    </row>
    <row r="82" spans="1:142">
      <c r="A82" s="111" t="s">
        <v>751</v>
      </c>
      <c r="B82" s="112">
        <v>27626</v>
      </c>
      <c r="C82" s="112">
        <v>29201</v>
      </c>
      <c r="D82" s="112">
        <v>29161</v>
      </c>
      <c r="E82" s="112">
        <v>32735</v>
      </c>
      <c r="F82" s="112">
        <v>39705</v>
      </c>
      <c r="G82" s="112">
        <v>43515</v>
      </c>
      <c r="H82" s="112">
        <v>46220</v>
      </c>
      <c r="I82" s="112">
        <v>56000</v>
      </c>
      <c r="J82" s="112">
        <v>67160</v>
      </c>
      <c r="K82" s="112">
        <v>78377</v>
      </c>
      <c r="L82" s="112"/>
      <c r="M82" s="112">
        <v>29257</v>
      </c>
      <c r="N82" s="112">
        <v>30325</v>
      </c>
      <c r="O82" s="112">
        <v>31029</v>
      </c>
      <c r="P82" s="195">
        <v>32735</v>
      </c>
      <c r="Q82" s="112">
        <v>35158</v>
      </c>
      <c r="R82" s="112">
        <v>37095</v>
      </c>
      <c r="S82" s="112">
        <v>38395</v>
      </c>
      <c r="T82" s="195">
        <v>39705</v>
      </c>
      <c r="U82" s="112">
        <v>41263</v>
      </c>
      <c r="V82" s="112">
        <v>42145</v>
      </c>
      <c r="W82" s="112">
        <v>43042</v>
      </c>
      <c r="X82" s="195">
        <v>43515</v>
      </c>
      <c r="Y82" s="112">
        <v>44678</v>
      </c>
      <c r="Z82" s="112">
        <v>44843</v>
      </c>
      <c r="AA82" s="112">
        <v>45430</v>
      </c>
      <c r="AB82" s="195">
        <v>46220</v>
      </c>
      <c r="AC82" s="112">
        <v>47924</v>
      </c>
      <c r="AD82" s="112">
        <v>49663</v>
      </c>
      <c r="AE82" s="112">
        <v>53096</v>
      </c>
      <c r="AF82" s="195">
        <v>56000</v>
      </c>
      <c r="AG82" s="112">
        <v>59344</v>
      </c>
      <c r="AH82" s="112">
        <v>62921</v>
      </c>
      <c r="AI82" s="112">
        <v>65940</v>
      </c>
      <c r="AJ82" s="195">
        <v>67160</v>
      </c>
      <c r="AK82" s="112">
        <v>70391</v>
      </c>
      <c r="AL82" s="112">
        <v>73534</v>
      </c>
      <c r="AM82" s="112">
        <v>75788</v>
      </c>
      <c r="AN82" s="195">
        <v>78377</v>
      </c>
      <c r="AO82" s="112">
        <v>80990</v>
      </c>
      <c r="AP82" s="112">
        <v>81274</v>
      </c>
    </row>
    <row r="83" spans="1:142" ht="10.5">
      <c r="A83" s="113" t="s">
        <v>127</v>
      </c>
      <c r="B83" s="118">
        <v>1</v>
      </c>
      <c r="C83" s="118">
        <v>0.9</v>
      </c>
      <c r="D83" s="118">
        <v>1.1000000000000001</v>
      </c>
      <c r="E83" s="118">
        <v>1.1695433022758515</v>
      </c>
      <c r="F83" s="118">
        <v>1.0288037021710037</v>
      </c>
      <c r="G83" s="118">
        <v>0.83010456164540958</v>
      </c>
      <c r="H83" s="118">
        <v>0.9</v>
      </c>
      <c r="I83" s="118">
        <v>0.9</v>
      </c>
      <c r="J83" s="118">
        <v>0.89848275040574144</v>
      </c>
      <c r="K83" s="118">
        <v>0.81150082294550696</v>
      </c>
      <c r="L83" s="119"/>
      <c r="M83" s="118">
        <v>1.1001127935194996</v>
      </c>
      <c r="N83" s="118">
        <v>1.1261665292662819</v>
      </c>
      <c r="O83" s="118">
        <v>1.1663605014663703</v>
      </c>
      <c r="P83" s="199">
        <v>1.1695433022758515</v>
      </c>
      <c r="Q83" s="118">
        <v>1.1330751137364667</v>
      </c>
      <c r="R83" s="118">
        <v>1.0950441177351153</v>
      </c>
      <c r="S83" s="118">
        <v>1.0711602927863733</v>
      </c>
      <c r="T83" s="199">
        <v>1.0288296140111752</v>
      </c>
      <c r="U83" s="118">
        <v>0.97</v>
      </c>
      <c r="V83" s="118">
        <v>0.90236089690354726</v>
      </c>
      <c r="W83" s="118">
        <v>0.85023930114771618</v>
      </c>
      <c r="X83" s="199">
        <v>0.8</v>
      </c>
      <c r="Y83" s="118">
        <v>0.80043869465956397</v>
      </c>
      <c r="Z83" s="118">
        <v>0.8</v>
      </c>
      <c r="AA83" s="118">
        <v>0.84257098833370014</v>
      </c>
      <c r="AB83" s="199">
        <v>0.9</v>
      </c>
      <c r="AC83" s="118">
        <v>0.87555295885151485</v>
      </c>
      <c r="AD83" s="118">
        <v>0.88788434045466447</v>
      </c>
      <c r="AE83" s="118">
        <v>0.88387072472502637</v>
      </c>
      <c r="AF83" s="199">
        <v>0.88739285714285709</v>
      </c>
      <c r="AG83" s="118">
        <v>0.88421744405500136</v>
      </c>
      <c r="AH83" s="118">
        <v>0.89819000000000004</v>
      </c>
      <c r="AI83" s="118">
        <v>0.89037003336366394</v>
      </c>
      <c r="AJ83" s="199">
        <v>0.89848275040574144</v>
      </c>
      <c r="AK83" s="118">
        <v>0.8611612279978974</v>
      </c>
      <c r="AL83" s="118">
        <v>0.83252645034949824</v>
      </c>
      <c r="AM83" s="118">
        <v>0.81704227582202982</v>
      </c>
      <c r="AN83" s="199">
        <v>0.81150082294550696</v>
      </c>
      <c r="AO83" s="118">
        <v>0.8</v>
      </c>
      <c r="AP83" s="118">
        <v>0.78272264192730767</v>
      </c>
    </row>
    <row r="84" spans="1:142" ht="10.5">
      <c r="A84" s="51" t="s">
        <v>133</v>
      </c>
      <c r="B84" s="124"/>
      <c r="C84" s="124"/>
      <c r="D84" s="123"/>
      <c r="E84" s="124"/>
      <c r="F84" s="124"/>
      <c r="G84" s="124"/>
      <c r="H84" s="124"/>
      <c r="I84" s="124"/>
      <c r="J84" s="124"/>
      <c r="K84" s="124"/>
      <c r="L84" s="125"/>
      <c r="M84" s="124"/>
      <c r="N84" s="124"/>
      <c r="O84" s="124"/>
      <c r="P84" s="200"/>
      <c r="Q84" s="124"/>
      <c r="R84" s="124"/>
      <c r="S84" s="124"/>
      <c r="T84" s="207"/>
      <c r="U84" s="124"/>
      <c r="V84" s="124"/>
      <c r="W84" s="124"/>
      <c r="X84" s="207"/>
      <c r="Y84" s="124"/>
      <c r="Z84" s="124"/>
      <c r="AA84" s="124"/>
      <c r="AB84" s="207"/>
      <c r="AC84" s="124"/>
      <c r="AD84" s="124"/>
      <c r="AE84" s="124"/>
      <c r="AF84" s="207"/>
      <c r="AG84" s="124"/>
      <c r="AH84" s="124"/>
      <c r="AI84" s="124"/>
      <c r="AJ84" s="207"/>
      <c r="AK84" s="124"/>
      <c r="AL84" s="124"/>
      <c r="AM84" s="124"/>
      <c r="AN84" s="207"/>
      <c r="AO84" s="124"/>
      <c r="AP84" s="124"/>
    </row>
    <row r="85" spans="1:142" ht="10.5">
      <c r="A85" s="51" t="s">
        <v>154</v>
      </c>
      <c r="B85" s="124"/>
      <c r="C85" s="124"/>
      <c r="D85" s="123"/>
      <c r="E85" s="124"/>
      <c r="F85" s="124"/>
      <c r="G85" s="124"/>
      <c r="H85" s="124"/>
      <c r="I85" s="124"/>
      <c r="J85" s="124"/>
      <c r="K85" s="124"/>
      <c r="L85" s="125"/>
      <c r="M85" s="124"/>
      <c r="N85" s="124"/>
      <c r="O85" s="124"/>
      <c r="P85" s="200"/>
      <c r="Q85" s="124"/>
      <c r="R85" s="124"/>
      <c r="S85" s="124"/>
      <c r="T85" s="207"/>
      <c r="U85" s="124"/>
      <c r="V85" s="124"/>
      <c r="W85" s="124"/>
      <c r="X85" s="207"/>
      <c r="Y85" s="124"/>
      <c r="Z85" s="124"/>
      <c r="AA85" s="124"/>
      <c r="AB85" s="207"/>
      <c r="AC85" s="124"/>
      <c r="AD85" s="124"/>
      <c r="AE85" s="124"/>
      <c r="AF85" s="207"/>
      <c r="AG85" s="124"/>
      <c r="AH85" s="124"/>
      <c r="AI85" s="124"/>
      <c r="AJ85" s="207"/>
      <c r="AK85" s="124"/>
      <c r="AL85" s="124"/>
      <c r="AM85" s="124"/>
      <c r="AN85" s="207"/>
      <c r="AO85" s="124"/>
      <c r="AP85" s="124"/>
    </row>
    <row r="86" spans="1:142">
      <c r="A86" s="51" t="s">
        <v>155</v>
      </c>
      <c r="B86" s="107"/>
      <c r="C86" s="107"/>
      <c r="D86" s="317"/>
      <c r="E86" s="107"/>
      <c r="F86" s="107"/>
      <c r="G86" s="107"/>
      <c r="H86" s="107"/>
      <c r="I86" s="107"/>
      <c r="J86" s="107"/>
      <c r="K86" s="107"/>
      <c r="L86" s="107"/>
      <c r="M86" s="107"/>
      <c r="N86" s="107"/>
      <c r="O86" s="107"/>
      <c r="P86" s="194"/>
      <c r="Q86" s="107"/>
      <c r="R86" s="107"/>
      <c r="S86" s="107"/>
      <c r="T86" s="194"/>
      <c r="U86" s="107"/>
      <c r="V86" s="107"/>
      <c r="W86" s="107"/>
      <c r="X86" s="194"/>
      <c r="Y86" s="107"/>
      <c r="Z86" s="107"/>
      <c r="AA86" s="107"/>
      <c r="AB86" s="194"/>
      <c r="AC86" s="107"/>
      <c r="AD86" s="107"/>
      <c r="AE86" s="107"/>
      <c r="AF86" s="194"/>
      <c r="AG86" s="107"/>
      <c r="AH86" s="107"/>
      <c r="AI86" s="107"/>
      <c r="AJ86" s="194"/>
      <c r="AK86" s="107"/>
      <c r="AL86" s="107"/>
      <c r="AM86" s="107"/>
      <c r="AN86" s="194"/>
      <c r="AO86" s="107"/>
      <c r="AP86" s="107"/>
    </row>
    <row r="87" spans="1:142">
      <c r="A87" s="107"/>
      <c r="B87" s="107"/>
      <c r="C87" s="107"/>
      <c r="D87" s="317"/>
      <c r="E87" s="107"/>
      <c r="F87" s="107"/>
      <c r="G87" s="107"/>
      <c r="H87" s="107"/>
      <c r="I87" s="107"/>
      <c r="J87" s="107"/>
      <c r="K87" s="107"/>
      <c r="L87" s="107"/>
      <c r="M87" s="107"/>
      <c r="N87" s="107"/>
      <c r="O87" s="107"/>
      <c r="P87" s="194"/>
      <c r="Q87" s="107"/>
      <c r="R87" s="107"/>
      <c r="S87" s="107"/>
      <c r="T87" s="194"/>
      <c r="U87" s="107"/>
      <c r="V87" s="107"/>
      <c r="W87" s="107"/>
      <c r="X87" s="194"/>
      <c r="Y87" s="107"/>
      <c r="Z87" s="107"/>
      <c r="AA87" s="107"/>
      <c r="AB87" s="194"/>
      <c r="AC87" s="107"/>
      <c r="AD87" s="107"/>
      <c r="AE87" s="107"/>
      <c r="AF87" s="194"/>
      <c r="AG87" s="107"/>
      <c r="AH87" s="107"/>
      <c r="AI87" s="107"/>
      <c r="AJ87" s="194"/>
      <c r="AK87" s="107"/>
      <c r="AL87" s="107"/>
      <c r="AM87" s="107"/>
      <c r="AN87" s="194"/>
      <c r="AO87" s="107"/>
      <c r="AP87" s="107"/>
    </row>
    <row r="88" spans="1:142" ht="12.5">
      <c r="A88" s="585" t="s">
        <v>156</v>
      </c>
      <c r="B88" s="110">
        <v>2015</v>
      </c>
      <c r="C88" s="110">
        <v>2016</v>
      </c>
      <c r="D88" s="110" t="s">
        <v>229</v>
      </c>
      <c r="E88" s="110">
        <v>2018</v>
      </c>
      <c r="F88" s="110">
        <v>2019</v>
      </c>
      <c r="G88" s="110">
        <v>2020</v>
      </c>
      <c r="H88" s="110">
        <v>2021</v>
      </c>
      <c r="I88" s="110">
        <v>2022</v>
      </c>
      <c r="J88" s="110">
        <v>2023</v>
      </c>
      <c r="K88" s="110">
        <v>2024</v>
      </c>
      <c r="L88" s="123"/>
      <c r="M88" s="324" t="s">
        <v>764</v>
      </c>
      <c r="N88" s="324" t="s">
        <v>765</v>
      </c>
      <c r="O88" s="324" t="s">
        <v>766</v>
      </c>
      <c r="P88" s="586" t="s">
        <v>767</v>
      </c>
      <c r="Q88" s="324" t="s">
        <v>768</v>
      </c>
      <c r="R88" s="324" t="s">
        <v>730</v>
      </c>
      <c r="S88" s="324" t="s">
        <v>731</v>
      </c>
      <c r="T88" s="586" t="s">
        <v>732</v>
      </c>
      <c r="U88" s="324" t="s">
        <v>733</v>
      </c>
      <c r="V88" s="324" t="s">
        <v>626</v>
      </c>
      <c r="W88" s="324" t="s">
        <v>620</v>
      </c>
      <c r="X88" s="586" t="s">
        <v>619</v>
      </c>
      <c r="Y88" s="324" t="s">
        <v>614</v>
      </c>
      <c r="Z88" s="324" t="s">
        <v>604</v>
      </c>
      <c r="AA88" s="324" t="s">
        <v>589</v>
      </c>
      <c r="AB88" s="586" t="s">
        <v>587</v>
      </c>
      <c r="AC88" s="324" t="s">
        <v>504</v>
      </c>
      <c r="AD88" s="324" t="s">
        <v>551</v>
      </c>
      <c r="AE88" s="324" t="s">
        <v>532</v>
      </c>
      <c r="AF88" s="586" t="s">
        <v>530</v>
      </c>
      <c r="AG88" s="324" t="s">
        <v>803</v>
      </c>
      <c r="AH88" s="324" t="s">
        <v>812</v>
      </c>
      <c r="AI88" s="324" t="s">
        <v>816</v>
      </c>
      <c r="AJ88" s="586" t="s">
        <v>835</v>
      </c>
      <c r="AK88" s="324" t="s">
        <v>872</v>
      </c>
      <c r="AL88" s="324" t="s">
        <v>986</v>
      </c>
      <c r="AM88" s="324" t="s">
        <v>1016</v>
      </c>
      <c r="AN88" s="586" t="s">
        <v>1039</v>
      </c>
      <c r="AO88" s="324" t="s">
        <v>1076</v>
      </c>
      <c r="AP88" s="324" t="s">
        <v>1285</v>
      </c>
    </row>
    <row r="89" spans="1:142">
      <c r="A89" s="111" t="s">
        <v>752</v>
      </c>
      <c r="B89" s="112">
        <v>7471</v>
      </c>
      <c r="C89" s="112">
        <v>8120</v>
      </c>
      <c r="D89" s="112">
        <v>7239</v>
      </c>
      <c r="E89" s="112">
        <v>7080</v>
      </c>
      <c r="F89" s="112">
        <v>9025</v>
      </c>
      <c r="G89" s="112">
        <v>10960</v>
      </c>
      <c r="H89" s="112">
        <v>9545</v>
      </c>
      <c r="I89" s="112">
        <v>11025</v>
      </c>
      <c r="J89" s="112">
        <v>14225</v>
      </c>
      <c r="K89" s="112">
        <v>22219</v>
      </c>
      <c r="L89" s="112"/>
      <c r="M89" s="112">
        <v>4805</v>
      </c>
      <c r="N89" s="112">
        <v>7286</v>
      </c>
      <c r="O89" s="112">
        <v>7095</v>
      </c>
      <c r="P89" s="195">
        <v>7080</v>
      </c>
      <c r="Q89" s="112">
        <v>9035</v>
      </c>
      <c r="R89" s="112">
        <v>9111</v>
      </c>
      <c r="S89" s="112">
        <v>9267</v>
      </c>
      <c r="T89" s="195">
        <v>9025</v>
      </c>
      <c r="U89" s="112">
        <v>9089</v>
      </c>
      <c r="V89" s="112">
        <v>11198</v>
      </c>
      <c r="W89" s="112">
        <v>10688</v>
      </c>
      <c r="X89" s="195">
        <v>10960</v>
      </c>
      <c r="Y89" s="112">
        <v>10610</v>
      </c>
      <c r="Z89" s="112">
        <v>10669</v>
      </c>
      <c r="AA89" s="112">
        <v>10581</v>
      </c>
      <c r="AB89" s="195">
        <v>9545</v>
      </c>
      <c r="AC89" s="112">
        <v>9434</v>
      </c>
      <c r="AD89" s="112">
        <v>9631</v>
      </c>
      <c r="AE89" s="112">
        <v>10792</v>
      </c>
      <c r="AF89" s="195">
        <v>11025</v>
      </c>
      <c r="AG89" s="112">
        <v>11936</v>
      </c>
      <c r="AH89" s="112">
        <v>14320</v>
      </c>
      <c r="AI89" s="112">
        <v>14038</v>
      </c>
      <c r="AJ89" s="195">
        <v>14225</v>
      </c>
      <c r="AK89" s="112">
        <v>20132</v>
      </c>
      <c r="AL89" s="112">
        <v>22648</v>
      </c>
      <c r="AM89" s="112">
        <f>22654+1</f>
        <v>22655</v>
      </c>
      <c r="AN89" s="195">
        <v>22219</v>
      </c>
      <c r="AO89" s="112">
        <v>21539</v>
      </c>
      <c r="AP89" s="112">
        <v>21517</v>
      </c>
    </row>
    <row r="90" spans="1:142" s="128" customFormat="1" ht="10.5">
      <c r="A90" s="111" t="s">
        <v>753</v>
      </c>
      <c r="B90" s="112">
        <v>-461</v>
      </c>
      <c r="C90" s="112">
        <v>-481</v>
      </c>
      <c r="D90" s="112">
        <v>-1808</v>
      </c>
      <c r="E90" s="112">
        <v>-5872</v>
      </c>
      <c r="F90" s="112">
        <v>-8540</v>
      </c>
      <c r="G90" s="112">
        <v>-15053</v>
      </c>
      <c r="H90" s="112">
        <v>-10792</v>
      </c>
      <c r="I90" s="112">
        <v>-7326</v>
      </c>
      <c r="J90" s="112">
        <v>-6401</v>
      </c>
      <c r="K90" s="112">
        <v>-7179</v>
      </c>
      <c r="L90" s="112"/>
      <c r="M90" s="112">
        <v>-2255</v>
      </c>
      <c r="N90" s="112">
        <v>-4259</v>
      </c>
      <c r="O90" s="112">
        <v>-3949</v>
      </c>
      <c r="P90" s="195">
        <v>-5872</v>
      </c>
      <c r="Q90" s="112">
        <v>-5371</v>
      </c>
      <c r="R90" s="112">
        <v>-4883</v>
      </c>
      <c r="S90" s="112">
        <v>-6814</v>
      </c>
      <c r="T90" s="195">
        <v>-8540</v>
      </c>
      <c r="U90" s="112">
        <v>-10225</v>
      </c>
      <c r="V90" s="112">
        <v>-13005</v>
      </c>
      <c r="W90" s="112">
        <v>-14250</v>
      </c>
      <c r="X90" s="195">
        <v>-15053</v>
      </c>
      <c r="Y90" s="112">
        <v>-16191</v>
      </c>
      <c r="Z90" s="112">
        <v>-10931</v>
      </c>
      <c r="AA90" s="112">
        <v>-11745</v>
      </c>
      <c r="AB90" s="195">
        <v>-10792</v>
      </c>
      <c r="AC90" s="112">
        <v>-11207</v>
      </c>
      <c r="AD90" s="112">
        <v>-10380</v>
      </c>
      <c r="AE90" s="112">
        <v>-11879</v>
      </c>
      <c r="AF90" s="195">
        <v>-7326</v>
      </c>
      <c r="AG90" s="112">
        <v>-4587</v>
      </c>
      <c r="AH90" s="112">
        <v>-4949</v>
      </c>
      <c r="AI90" s="112">
        <v>-6330</v>
      </c>
      <c r="AJ90" s="195">
        <v>-6401</v>
      </c>
      <c r="AK90" s="112">
        <v>-13879</v>
      </c>
      <c r="AL90" s="112">
        <v>-6598</v>
      </c>
      <c r="AM90" s="112">
        <v>-7129</v>
      </c>
      <c r="AN90" s="195">
        <v>-7179</v>
      </c>
      <c r="AO90" s="112">
        <v>-9107</v>
      </c>
      <c r="AP90" s="112">
        <v>-7659</v>
      </c>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row>
    <row r="91" spans="1:142">
      <c r="A91" s="111" t="s">
        <v>754</v>
      </c>
      <c r="B91" s="116">
        <v>-4591</v>
      </c>
      <c r="C91" s="112">
        <v>-5653</v>
      </c>
      <c r="D91" s="112">
        <v>-7</v>
      </c>
      <c r="E91" s="112" t="s">
        <v>113</v>
      </c>
      <c r="F91" s="112">
        <v>0</v>
      </c>
      <c r="G91" s="112">
        <v>-44</v>
      </c>
      <c r="H91" s="112">
        <v>-58</v>
      </c>
      <c r="I91" s="112">
        <v>-8</v>
      </c>
      <c r="J91" s="112" t="s">
        <v>113</v>
      </c>
      <c r="K91" s="112">
        <v>-68</v>
      </c>
      <c r="L91" s="112"/>
      <c r="M91" s="112" t="s">
        <v>113</v>
      </c>
      <c r="N91" s="112" t="s">
        <v>113</v>
      </c>
      <c r="O91" s="112" t="s">
        <v>113</v>
      </c>
      <c r="P91" s="195" t="s">
        <v>113</v>
      </c>
      <c r="Q91" s="112">
        <v>-20</v>
      </c>
      <c r="R91" s="112">
        <v>-4.1180000000000003</v>
      </c>
      <c r="S91" s="112">
        <v>-28</v>
      </c>
      <c r="T91" s="195">
        <v>0</v>
      </c>
      <c r="U91" s="112">
        <v>-55</v>
      </c>
      <c r="V91" s="112">
        <v>-12</v>
      </c>
      <c r="W91" s="112">
        <v>-76</v>
      </c>
      <c r="X91" s="195">
        <v>-44</v>
      </c>
      <c r="Y91" s="112">
        <v>-166</v>
      </c>
      <c r="Z91" s="112">
        <v>-61</v>
      </c>
      <c r="AA91" s="112">
        <v>-27</v>
      </c>
      <c r="AB91" s="195">
        <v>-58</v>
      </c>
      <c r="AC91" s="112">
        <v>-71</v>
      </c>
      <c r="AD91" s="112">
        <v>-126</v>
      </c>
      <c r="AE91" s="112">
        <v>-458</v>
      </c>
      <c r="AF91" s="195">
        <v>-8</v>
      </c>
      <c r="AG91" s="112">
        <v>-67</v>
      </c>
      <c r="AH91" s="112">
        <v>-272</v>
      </c>
      <c r="AI91" s="112">
        <v>-65</v>
      </c>
      <c r="AJ91" s="195" t="s">
        <v>113</v>
      </c>
      <c r="AK91" s="112">
        <v>-141</v>
      </c>
      <c r="AL91" s="112">
        <v>-161</v>
      </c>
      <c r="AM91" s="112" t="s">
        <v>113</v>
      </c>
      <c r="AN91" s="195">
        <v>-68</v>
      </c>
      <c r="AO91" s="112">
        <v>-85</v>
      </c>
      <c r="AP91" s="112">
        <v>-2</v>
      </c>
    </row>
    <row r="92" spans="1:142">
      <c r="A92" s="111" t="s">
        <v>755</v>
      </c>
      <c r="B92" s="116"/>
      <c r="C92" s="112"/>
      <c r="D92" s="112"/>
      <c r="E92" s="112"/>
      <c r="F92" s="112">
        <v>-1.8277108099999999</v>
      </c>
      <c r="G92" s="112" t="s">
        <v>113</v>
      </c>
      <c r="H92" s="112" t="s">
        <v>113</v>
      </c>
      <c r="I92" s="112" t="s">
        <v>113</v>
      </c>
      <c r="J92" s="112" t="s">
        <v>113</v>
      </c>
      <c r="K92" s="112">
        <v>-194</v>
      </c>
      <c r="L92" s="112"/>
      <c r="M92" s="112"/>
      <c r="N92" s="112"/>
      <c r="O92" s="112"/>
      <c r="P92" s="195"/>
      <c r="Q92" s="112">
        <v>-3</v>
      </c>
      <c r="R92" s="112">
        <v>-6.8019999999999996</v>
      </c>
      <c r="S92" s="112">
        <v>-9</v>
      </c>
      <c r="T92" s="195">
        <v>-1.8277108099999999</v>
      </c>
      <c r="U92" s="112">
        <v>0</v>
      </c>
      <c r="V92" s="112">
        <v>0</v>
      </c>
      <c r="W92" s="112" t="s">
        <v>113</v>
      </c>
      <c r="X92" s="195" t="s">
        <v>113</v>
      </c>
      <c r="Y92" s="112">
        <v>0</v>
      </c>
      <c r="Z92" s="112" t="s">
        <v>113</v>
      </c>
      <c r="AA92" s="112" t="s">
        <v>113</v>
      </c>
      <c r="AB92" s="195" t="s">
        <v>113</v>
      </c>
      <c r="AC92" s="112" t="s">
        <v>113</v>
      </c>
      <c r="AD92" s="112" t="s">
        <v>113</v>
      </c>
      <c r="AE92" s="112" t="s">
        <v>113</v>
      </c>
      <c r="AF92" s="195" t="s">
        <v>113</v>
      </c>
      <c r="AG92" s="112" t="s">
        <v>113</v>
      </c>
      <c r="AH92" s="112" t="s">
        <v>113</v>
      </c>
      <c r="AI92" s="112" t="s">
        <v>113</v>
      </c>
      <c r="AJ92" s="195" t="s">
        <v>113</v>
      </c>
      <c r="AK92" s="112">
        <v>-36</v>
      </c>
      <c r="AL92" s="112">
        <v>-88</v>
      </c>
      <c r="AM92" s="112">
        <v>-373</v>
      </c>
      <c r="AN92" s="195">
        <v>-194</v>
      </c>
      <c r="AO92" s="112">
        <v>-30</v>
      </c>
      <c r="AP92" s="112">
        <v>-572</v>
      </c>
    </row>
    <row r="93" spans="1:142" ht="10.5">
      <c r="A93" s="113" t="s">
        <v>354</v>
      </c>
      <c r="B93" s="117">
        <v>2419</v>
      </c>
      <c r="C93" s="117">
        <v>1986</v>
      </c>
      <c r="D93" s="117">
        <v>5424</v>
      </c>
      <c r="E93" s="117">
        <v>1208</v>
      </c>
      <c r="F93" s="117">
        <v>483.17228919000001</v>
      </c>
      <c r="G93" s="117">
        <v>-4137</v>
      </c>
      <c r="H93" s="117">
        <v>-1304</v>
      </c>
      <c r="I93" s="117">
        <v>3691</v>
      </c>
      <c r="J93" s="117">
        <v>7824</v>
      </c>
      <c r="K93" s="117">
        <v>14778</v>
      </c>
      <c r="L93" s="608"/>
      <c r="M93" s="117">
        <v>2550</v>
      </c>
      <c r="N93" s="117">
        <v>3027</v>
      </c>
      <c r="O93" s="117">
        <v>3146</v>
      </c>
      <c r="P93" s="198">
        <v>1208</v>
      </c>
      <c r="Q93" s="117">
        <v>3641</v>
      </c>
      <c r="R93" s="117">
        <v>4217.08</v>
      </c>
      <c r="S93" s="117">
        <v>2416</v>
      </c>
      <c r="T93" s="198">
        <v>483.17228919000001</v>
      </c>
      <c r="U93" s="117">
        <v>-1191</v>
      </c>
      <c r="V93" s="117">
        <v>-1819</v>
      </c>
      <c r="W93" s="117">
        <v>-3638</v>
      </c>
      <c r="X93" s="198">
        <v>-4137</v>
      </c>
      <c r="Y93" s="117">
        <v>-5747</v>
      </c>
      <c r="Z93" s="117">
        <v>-322</v>
      </c>
      <c r="AA93" s="117">
        <v>-1191</v>
      </c>
      <c r="AB93" s="198">
        <v>-1304</v>
      </c>
      <c r="AC93" s="117">
        <v>-1844</v>
      </c>
      <c r="AD93" s="117">
        <v>-876</v>
      </c>
      <c r="AE93" s="117">
        <v>-1545</v>
      </c>
      <c r="AF93" s="198">
        <v>3691</v>
      </c>
      <c r="AG93" s="117">
        <v>7281</v>
      </c>
      <c r="AH93" s="117">
        <v>9099</v>
      </c>
      <c r="AI93" s="117">
        <v>7643</v>
      </c>
      <c r="AJ93" s="198">
        <v>7824</v>
      </c>
      <c r="AK93" s="117">
        <v>6076</v>
      </c>
      <c r="AL93" s="117">
        <v>15801</v>
      </c>
      <c r="AM93" s="117">
        <v>15152</v>
      </c>
      <c r="AN93" s="198">
        <v>14778</v>
      </c>
      <c r="AO93" s="117">
        <v>12317</v>
      </c>
      <c r="AP93" s="117">
        <v>13284</v>
      </c>
    </row>
    <row r="94" spans="1:142">
      <c r="A94" s="111" t="s">
        <v>756</v>
      </c>
      <c r="B94" s="112">
        <v>14929</v>
      </c>
      <c r="C94" s="112">
        <v>15813</v>
      </c>
      <c r="D94" s="112">
        <v>12047</v>
      </c>
      <c r="E94" s="112">
        <v>18847</v>
      </c>
      <c r="F94" s="112">
        <v>22813</v>
      </c>
      <c r="G94" s="112">
        <v>23739</v>
      </c>
      <c r="H94" s="112">
        <v>25785</v>
      </c>
      <c r="I94" s="112">
        <v>33508</v>
      </c>
      <c r="J94" s="112">
        <v>37210</v>
      </c>
      <c r="K94" s="112">
        <v>43180</v>
      </c>
      <c r="L94" s="112"/>
      <c r="M94" s="112">
        <v>16090</v>
      </c>
      <c r="N94" s="112">
        <v>17537</v>
      </c>
      <c r="O94" s="112">
        <v>17406</v>
      </c>
      <c r="P94" s="195">
        <v>18847</v>
      </c>
      <c r="Q94" s="112">
        <v>20685</v>
      </c>
      <c r="R94" s="112">
        <v>19889</v>
      </c>
      <c r="S94" s="112">
        <v>21834</v>
      </c>
      <c r="T94" s="195">
        <v>22813</v>
      </c>
      <c r="U94" s="112">
        <v>24712</v>
      </c>
      <c r="V94" s="112">
        <v>23383</v>
      </c>
      <c r="W94" s="112">
        <v>24556</v>
      </c>
      <c r="X94" s="195">
        <v>23739</v>
      </c>
      <c r="Y94" s="112">
        <v>26206</v>
      </c>
      <c r="Z94" s="112">
        <v>21028</v>
      </c>
      <c r="AA94" s="112">
        <v>23301</v>
      </c>
      <c r="AB94" s="195">
        <v>25785</v>
      </c>
      <c r="AC94" s="112">
        <v>28817</v>
      </c>
      <c r="AD94" s="112">
        <v>28663</v>
      </c>
      <c r="AE94" s="112">
        <v>31766</v>
      </c>
      <c r="AF94" s="195">
        <v>33508</v>
      </c>
      <c r="AG94" s="112">
        <v>35464</v>
      </c>
      <c r="AH94" s="112">
        <v>35205</v>
      </c>
      <c r="AI94" s="112">
        <v>37143</v>
      </c>
      <c r="AJ94" s="195">
        <v>37210</v>
      </c>
      <c r="AK94" s="112">
        <v>40764</v>
      </c>
      <c r="AL94" s="112">
        <v>38104</v>
      </c>
      <c r="AM94" s="112">
        <v>39630</v>
      </c>
      <c r="AN94" s="195">
        <v>43180</v>
      </c>
      <c r="AO94" s="112">
        <v>42470</v>
      </c>
      <c r="AP94" s="112">
        <v>38596</v>
      </c>
    </row>
    <row r="95" spans="1:142" ht="10.5">
      <c r="A95" s="124" t="s">
        <v>157</v>
      </c>
      <c r="B95" s="129">
        <v>16.2</v>
      </c>
      <c r="C95" s="129">
        <v>12.6</v>
      </c>
      <c r="D95" s="318">
        <v>45</v>
      </c>
      <c r="E95" s="129">
        <v>6.4095081445322863</v>
      </c>
      <c r="F95" s="129">
        <v>2.1179690930171398</v>
      </c>
      <c r="G95" s="129">
        <v>-17.425550735015374</v>
      </c>
      <c r="H95" s="129">
        <v>-5.0999999999999996</v>
      </c>
      <c r="I95" s="129">
        <v>11.015608678783501</v>
      </c>
      <c r="J95" s="129">
        <v>21.026605751142199</v>
      </c>
      <c r="K95" s="129">
        <v>34.224177860120399</v>
      </c>
      <c r="L95" s="129"/>
      <c r="M95" s="129">
        <v>15.848353014294592</v>
      </c>
      <c r="N95" s="129">
        <v>17.260648913725266</v>
      </c>
      <c r="O95" s="129">
        <v>18.074227277950133</v>
      </c>
      <c r="P95" s="204">
        <v>6.4095081445322863</v>
      </c>
      <c r="Q95" s="129">
        <v>17.602127145274356</v>
      </c>
      <c r="R95" s="129">
        <v>21.203077077781689</v>
      </c>
      <c r="S95" s="129">
        <v>11.065310982870752</v>
      </c>
      <c r="T95" s="204">
        <v>2.1179690930171398</v>
      </c>
      <c r="U95" s="129">
        <v>-4.82</v>
      </c>
      <c r="V95" s="129">
        <v>-7.7791557969464993</v>
      </c>
      <c r="W95" s="129">
        <v>-14.815116468480207</v>
      </c>
      <c r="X95" s="204">
        <v>-17.425550735015374</v>
      </c>
      <c r="Y95" s="129">
        <v>-21.930092345264445</v>
      </c>
      <c r="Z95" s="129">
        <v>-1.5</v>
      </c>
      <c r="AA95" s="129">
        <v>-5.1111492575744597</v>
      </c>
      <c r="AB95" s="204">
        <v>-5.0999999999999996</v>
      </c>
      <c r="AC95" s="129">
        <v>-6.3990005899295603</v>
      </c>
      <c r="AD95" s="129">
        <v>-3.0562048634127601</v>
      </c>
      <c r="AE95" s="129">
        <v>-4.8635376333931397</v>
      </c>
      <c r="AF95" s="204">
        <v>11.015608678783501</v>
      </c>
      <c r="AG95" s="129">
        <v>20.530100098688798</v>
      </c>
      <c r="AH95" s="129">
        <v>25.846</v>
      </c>
      <c r="AI95" s="129">
        <v>20.576674563859601</v>
      </c>
      <c r="AJ95" s="204">
        <v>21.026605751142199</v>
      </c>
      <c r="AK95" s="129">
        <v>14.905308605632399</v>
      </c>
      <c r="AL95" s="129">
        <v>-41.47071173630065</v>
      </c>
      <c r="AM95" s="129">
        <v>-38.233661367650768</v>
      </c>
      <c r="AN95" s="204">
        <v>-34.224177860120427</v>
      </c>
      <c r="AO95" s="129">
        <v>-29</v>
      </c>
      <c r="AP95" s="129">
        <v>-34.418074411856153</v>
      </c>
    </row>
    <row r="96" spans="1:142">
      <c r="A96" s="111" t="s">
        <v>757</v>
      </c>
      <c r="B96" s="112">
        <v>6566</v>
      </c>
      <c r="C96" s="112">
        <v>5765</v>
      </c>
      <c r="D96" s="112">
        <v>7183</v>
      </c>
      <c r="E96" s="112">
        <v>8753</v>
      </c>
      <c r="F96" s="112">
        <v>10114</v>
      </c>
      <c r="G96" s="112">
        <v>9128</v>
      </c>
      <c r="H96" s="112">
        <v>10740</v>
      </c>
      <c r="I96" s="112">
        <v>13276</v>
      </c>
      <c r="J96" s="112">
        <v>15846</v>
      </c>
      <c r="K96" s="112">
        <v>15827</v>
      </c>
      <c r="L96" s="112"/>
      <c r="M96" s="112">
        <v>7284</v>
      </c>
      <c r="N96" s="112">
        <v>7655</v>
      </c>
      <c r="O96" s="112">
        <v>8110</v>
      </c>
      <c r="P96" s="195">
        <v>8753</v>
      </c>
      <c r="Q96" s="112">
        <v>9322.9659393982001</v>
      </c>
      <c r="R96" s="112">
        <v>9901.7304271999001</v>
      </c>
      <c r="S96" s="112">
        <v>10125</v>
      </c>
      <c r="T96" s="195">
        <v>10114</v>
      </c>
      <c r="U96" s="112">
        <v>10084</v>
      </c>
      <c r="V96" s="112">
        <v>9212</v>
      </c>
      <c r="W96" s="112">
        <v>8977</v>
      </c>
      <c r="X96" s="195">
        <v>9128</v>
      </c>
      <c r="Y96" s="112">
        <v>9004</v>
      </c>
      <c r="Z96" s="112">
        <v>9738</v>
      </c>
      <c r="AA96" s="112">
        <v>10307</v>
      </c>
      <c r="AB96" s="195">
        <v>10740</v>
      </c>
      <c r="AC96" s="112">
        <v>11589</v>
      </c>
      <c r="AD96" s="112">
        <v>11863</v>
      </c>
      <c r="AE96" s="112">
        <v>12475</v>
      </c>
      <c r="AF96" s="195">
        <v>13276</v>
      </c>
      <c r="AG96" s="112">
        <v>13975</v>
      </c>
      <c r="AH96" s="112">
        <v>15163</v>
      </c>
      <c r="AI96" s="112">
        <v>15699</v>
      </c>
      <c r="AJ96" s="195">
        <f>15843+3</f>
        <v>15846</v>
      </c>
      <c r="AK96" s="112">
        <v>15482</v>
      </c>
      <c r="AL96" s="112">
        <v>15135</v>
      </c>
      <c r="AM96" s="112">
        <v>15618</v>
      </c>
      <c r="AN96" s="195">
        <v>15827</v>
      </c>
      <c r="AO96" s="112">
        <v>16260</v>
      </c>
      <c r="AP96" s="112">
        <v>16153</v>
      </c>
    </row>
    <row r="97" spans="1:42" ht="10.5">
      <c r="A97" s="113" t="s">
        <v>99</v>
      </c>
      <c r="B97" s="114">
        <v>0.37</v>
      </c>
      <c r="C97" s="130">
        <v>0.34</v>
      </c>
      <c r="D97" s="130">
        <v>0.76</v>
      </c>
      <c r="E97" s="130">
        <v>0.13800982520278762</v>
      </c>
      <c r="F97" s="130">
        <v>0.05</v>
      </c>
      <c r="G97" s="130">
        <v>-0.45322085889570551</v>
      </c>
      <c r="H97" s="130">
        <v>-0.12</v>
      </c>
      <c r="I97" s="130">
        <v>0.27802048809882496</v>
      </c>
      <c r="J97" s="130">
        <v>0.49381469325927796</v>
      </c>
      <c r="K97" s="130">
        <v>0.93377985593327439</v>
      </c>
      <c r="L97" s="611"/>
      <c r="M97" s="130">
        <v>0.35013044075243716</v>
      </c>
      <c r="N97" s="130">
        <v>0.39542782495101242</v>
      </c>
      <c r="O97" s="130">
        <v>0.38791615289765724</v>
      </c>
      <c r="P97" s="205">
        <v>0.13800982520278762</v>
      </c>
      <c r="Q97" s="130">
        <v>0.39054095270405198</v>
      </c>
      <c r="R97" s="130">
        <v>0.42589323462248035</v>
      </c>
      <c r="S97" s="130">
        <v>0.24</v>
      </c>
      <c r="T97" s="205">
        <v>0.05</v>
      </c>
      <c r="U97" s="130">
        <v>-0.12</v>
      </c>
      <c r="V97" s="130">
        <v>-0.19745983499782893</v>
      </c>
      <c r="W97" s="130">
        <v>-0.40525788125208867</v>
      </c>
      <c r="X97" s="205">
        <v>-0.45322085889570551</v>
      </c>
      <c r="Y97" s="130">
        <v>-0.64</v>
      </c>
      <c r="Z97" s="130">
        <v>-0.03</v>
      </c>
      <c r="AA97" s="130">
        <v>-0.115552537110701</v>
      </c>
      <c r="AB97" s="205">
        <v>-0.12</v>
      </c>
      <c r="AC97" s="130">
        <v>-0.15911640348606437</v>
      </c>
      <c r="AD97" s="130">
        <v>-7.3843041389193287E-2</v>
      </c>
      <c r="AE97" s="130">
        <v>-0.12384769539078157</v>
      </c>
      <c r="AF97" s="205">
        <v>0.27802048809882496</v>
      </c>
      <c r="AG97" s="130">
        <v>0.5210017889087657</v>
      </c>
      <c r="AH97" s="130">
        <v>0.6</v>
      </c>
      <c r="AI97" s="130">
        <v>0.48684629594241674</v>
      </c>
      <c r="AJ97" s="205">
        <v>0.49381469325927796</v>
      </c>
      <c r="AK97" s="130">
        <v>0.39245575507040437</v>
      </c>
      <c r="AL97" s="130">
        <v>1.0440700363396103</v>
      </c>
      <c r="AM97" s="130">
        <v>0.97016263285952109</v>
      </c>
      <c r="AN97" s="205">
        <v>0.93377985593327439</v>
      </c>
      <c r="AO97" s="130" t="s">
        <v>1264</v>
      </c>
      <c r="AP97" s="130">
        <v>0.82248777165500586</v>
      </c>
    </row>
    <row r="98" spans="1:42">
      <c r="A98" s="51" t="s">
        <v>135</v>
      </c>
      <c r="B98" s="107"/>
      <c r="C98" s="107"/>
      <c r="D98" s="317"/>
      <c r="E98" s="107"/>
      <c r="F98" s="107"/>
      <c r="G98" s="107"/>
      <c r="H98" s="107"/>
      <c r="I98" s="107"/>
      <c r="J98" s="107"/>
      <c r="K98" s="107"/>
      <c r="L98" s="107"/>
      <c r="M98" s="107"/>
      <c r="N98" s="107"/>
      <c r="O98" s="107"/>
      <c r="P98" s="194"/>
      <c r="Q98" s="107"/>
      <c r="R98" s="107"/>
      <c r="S98" s="107"/>
      <c r="T98" s="194"/>
      <c r="U98" s="107"/>
      <c r="V98" s="107"/>
      <c r="W98" s="107"/>
      <c r="X98" s="194"/>
      <c r="Y98" s="107"/>
      <c r="Z98" s="107"/>
      <c r="AA98" s="107"/>
      <c r="AB98" s="194"/>
      <c r="AC98" s="107"/>
      <c r="AD98" s="107"/>
      <c r="AE98" s="107"/>
      <c r="AF98" s="194"/>
      <c r="AG98" s="107"/>
      <c r="AH98" s="107"/>
      <c r="AI98" s="107"/>
      <c r="AJ98" s="194"/>
      <c r="AK98" s="107"/>
      <c r="AL98" s="107"/>
      <c r="AM98" s="107"/>
      <c r="AN98" s="194"/>
      <c r="AO98" s="107"/>
      <c r="AP98" s="107"/>
    </row>
    <row r="99" spans="1:42">
      <c r="A99" s="107"/>
      <c r="B99" s="107"/>
      <c r="C99" s="107"/>
      <c r="D99" s="317"/>
      <c r="E99" s="107"/>
      <c r="F99" s="107"/>
      <c r="G99" s="107"/>
      <c r="H99" s="107"/>
      <c r="I99" s="107"/>
      <c r="J99" s="107"/>
      <c r="K99" s="107"/>
      <c r="L99" s="107"/>
      <c r="M99" s="107"/>
      <c r="N99" s="107"/>
      <c r="O99" s="107"/>
      <c r="P99" s="194"/>
      <c r="Q99" s="107"/>
      <c r="R99" s="107"/>
      <c r="S99" s="107"/>
      <c r="T99" s="194"/>
      <c r="U99" s="107"/>
      <c r="V99" s="107"/>
      <c r="W99" s="107"/>
      <c r="X99" s="194"/>
      <c r="Y99" s="107"/>
      <c r="Z99" s="107"/>
      <c r="AA99" s="107"/>
      <c r="AB99" s="194"/>
      <c r="AC99" s="107"/>
      <c r="AD99" s="107"/>
      <c r="AE99" s="107"/>
      <c r="AF99" s="194"/>
      <c r="AG99" s="107"/>
      <c r="AH99" s="107"/>
      <c r="AI99" s="107"/>
      <c r="AJ99" s="194"/>
      <c r="AK99" s="107"/>
      <c r="AL99" s="107"/>
      <c r="AM99" s="107"/>
      <c r="AN99" s="194"/>
      <c r="AO99" s="107"/>
      <c r="AP99" s="107"/>
    </row>
    <row r="100" spans="1:42" ht="12.5">
      <c r="A100" s="585" t="s">
        <v>158</v>
      </c>
      <c r="B100" s="110">
        <v>2015</v>
      </c>
      <c r="C100" s="110">
        <v>2016</v>
      </c>
      <c r="D100" s="110" t="s">
        <v>229</v>
      </c>
      <c r="E100" s="110">
        <v>2018</v>
      </c>
      <c r="F100" s="110">
        <v>2019</v>
      </c>
      <c r="G100" s="110">
        <v>2020</v>
      </c>
      <c r="H100" s="110">
        <v>2021</v>
      </c>
      <c r="I100" s="110">
        <v>2022</v>
      </c>
      <c r="J100" s="110">
        <v>2023</v>
      </c>
      <c r="K100" s="110">
        <v>2024</v>
      </c>
      <c r="L100" s="123"/>
      <c r="M100" s="324" t="s">
        <v>764</v>
      </c>
      <c r="N100" s="324" t="s">
        <v>765</v>
      </c>
      <c r="O100" s="324" t="s">
        <v>766</v>
      </c>
      <c r="P100" s="586" t="s">
        <v>767</v>
      </c>
      <c r="Q100" s="324" t="s">
        <v>768</v>
      </c>
      <c r="R100" s="324" t="s">
        <v>730</v>
      </c>
      <c r="S100" s="324" t="s">
        <v>731</v>
      </c>
      <c r="T100" s="586" t="s">
        <v>732</v>
      </c>
      <c r="U100" s="324" t="s">
        <v>733</v>
      </c>
      <c r="V100" s="324" t="s">
        <v>626</v>
      </c>
      <c r="W100" s="324" t="s">
        <v>620</v>
      </c>
      <c r="X100" s="586" t="s">
        <v>619</v>
      </c>
      <c r="Y100" s="324" t="s">
        <v>614</v>
      </c>
      <c r="Z100" s="324" t="s">
        <v>604</v>
      </c>
      <c r="AA100" s="324" t="s">
        <v>589</v>
      </c>
      <c r="AB100" s="586" t="s">
        <v>587</v>
      </c>
      <c r="AC100" s="324" t="s">
        <v>504</v>
      </c>
      <c r="AD100" s="324" t="s">
        <v>551</v>
      </c>
      <c r="AE100" s="324" t="s">
        <v>532</v>
      </c>
      <c r="AF100" s="586" t="s">
        <v>530</v>
      </c>
      <c r="AG100" s="324" t="s">
        <v>803</v>
      </c>
      <c r="AH100" s="324" t="s">
        <v>812</v>
      </c>
      <c r="AI100" s="324" t="s">
        <v>816</v>
      </c>
      <c r="AJ100" s="586" t="s">
        <v>835</v>
      </c>
      <c r="AK100" s="324" t="s">
        <v>872</v>
      </c>
      <c r="AL100" s="324" t="s">
        <v>986</v>
      </c>
      <c r="AM100" s="324" t="s">
        <v>1016</v>
      </c>
      <c r="AN100" s="586" t="s">
        <v>1039</v>
      </c>
      <c r="AO100" s="324" t="s">
        <v>1076</v>
      </c>
      <c r="AP100" s="324" t="s">
        <v>1285</v>
      </c>
    </row>
    <row r="101" spans="1:42">
      <c r="A101" s="111" t="s">
        <v>756</v>
      </c>
      <c r="B101" s="112">
        <v>14929</v>
      </c>
      <c r="C101" s="112">
        <v>15813</v>
      </c>
      <c r="D101" s="112">
        <v>12047</v>
      </c>
      <c r="E101" s="112">
        <v>18847</v>
      </c>
      <c r="F101" s="112">
        <v>22813</v>
      </c>
      <c r="G101" s="112">
        <v>23739</v>
      </c>
      <c r="H101" s="112">
        <v>25785</v>
      </c>
      <c r="I101" s="112">
        <v>33508</v>
      </c>
      <c r="J101" s="112">
        <v>37210</v>
      </c>
      <c r="K101" s="112">
        <v>43180</v>
      </c>
      <c r="L101" s="112"/>
      <c r="M101" s="112">
        <v>16090</v>
      </c>
      <c r="N101" s="112">
        <v>17537</v>
      </c>
      <c r="O101" s="112">
        <v>17406</v>
      </c>
      <c r="P101" s="195">
        <v>18847</v>
      </c>
      <c r="Q101" s="112">
        <v>20685</v>
      </c>
      <c r="R101" s="112">
        <v>19889</v>
      </c>
      <c r="S101" s="112">
        <v>21834</v>
      </c>
      <c r="T101" s="195">
        <v>22813</v>
      </c>
      <c r="U101" s="112">
        <v>24712</v>
      </c>
      <c r="V101" s="112">
        <v>23383</v>
      </c>
      <c r="W101" s="112">
        <v>24556</v>
      </c>
      <c r="X101" s="195">
        <v>23739</v>
      </c>
      <c r="Y101" s="112">
        <v>26206</v>
      </c>
      <c r="Z101" s="112">
        <v>21028</v>
      </c>
      <c r="AA101" s="112">
        <v>23301</v>
      </c>
      <c r="AB101" s="195">
        <v>25785</v>
      </c>
      <c r="AC101" s="112">
        <v>28817</v>
      </c>
      <c r="AD101" s="112">
        <v>28663</v>
      </c>
      <c r="AE101" s="112">
        <v>31766</v>
      </c>
      <c r="AF101" s="195">
        <v>33508</v>
      </c>
      <c r="AG101" s="112">
        <v>35464</v>
      </c>
      <c r="AH101" s="112">
        <v>35205</v>
      </c>
      <c r="AI101" s="112">
        <v>37143</v>
      </c>
      <c r="AJ101" s="195">
        <v>37210</v>
      </c>
      <c r="AK101" s="112">
        <v>40764</v>
      </c>
      <c r="AL101" s="112">
        <v>38104</v>
      </c>
      <c r="AM101" s="112">
        <v>39630</v>
      </c>
      <c r="AN101" s="195">
        <v>43180</v>
      </c>
      <c r="AO101" s="112">
        <v>42470</v>
      </c>
      <c r="AP101" s="112">
        <v>38596</v>
      </c>
    </row>
    <row r="102" spans="1:42">
      <c r="A102" s="111" t="s">
        <v>743</v>
      </c>
      <c r="B102" s="112">
        <v>28418</v>
      </c>
      <c r="C102" s="112">
        <v>29984</v>
      </c>
      <c r="D102" s="112">
        <v>27547</v>
      </c>
      <c r="E102" s="112">
        <v>36155</v>
      </c>
      <c r="F102" s="112">
        <v>41037</v>
      </c>
      <c r="G102" s="112">
        <v>43886</v>
      </c>
      <c r="H102" s="112">
        <v>48583</v>
      </c>
      <c r="I102" s="112">
        <v>61780</v>
      </c>
      <c r="J102" s="112">
        <v>67784</v>
      </c>
      <c r="K102" s="112">
        <v>83589</v>
      </c>
      <c r="L102" s="112"/>
      <c r="M102" s="112">
        <v>30465</v>
      </c>
      <c r="N102" s="112">
        <v>35024</v>
      </c>
      <c r="O102" s="112">
        <v>34487</v>
      </c>
      <c r="P102" s="195">
        <v>36155</v>
      </c>
      <c r="Q102" s="112">
        <v>39662</v>
      </c>
      <c r="R102" s="112">
        <v>40148</v>
      </c>
      <c r="S102" s="112">
        <v>41525</v>
      </c>
      <c r="T102" s="195">
        <v>41037</v>
      </c>
      <c r="U102" s="112">
        <v>43689</v>
      </c>
      <c r="V102" s="112">
        <v>44324</v>
      </c>
      <c r="W102" s="112">
        <v>44634</v>
      </c>
      <c r="X102" s="195">
        <v>43886</v>
      </c>
      <c r="Y102" s="112">
        <v>46851</v>
      </c>
      <c r="Z102" s="112">
        <v>44517</v>
      </c>
      <c r="AA102" s="112">
        <v>47259</v>
      </c>
      <c r="AB102" s="195">
        <v>48583</v>
      </c>
      <c r="AC102" s="112">
        <v>52409</v>
      </c>
      <c r="AD102" s="112">
        <v>55543</v>
      </c>
      <c r="AE102" s="112">
        <v>61685</v>
      </c>
      <c r="AF102" s="195">
        <v>61780</v>
      </c>
      <c r="AG102" s="112">
        <v>65302</v>
      </c>
      <c r="AH102" s="112">
        <v>70294</v>
      </c>
      <c r="AI102" s="112">
        <v>70640</v>
      </c>
      <c r="AJ102" s="195">
        <v>67784</v>
      </c>
      <c r="AK102" s="112">
        <v>77934</v>
      </c>
      <c r="AL102" s="112">
        <v>81016</v>
      </c>
      <c r="AM102" s="112">
        <v>81565</v>
      </c>
      <c r="AN102" s="195">
        <v>83589</v>
      </c>
      <c r="AO102" s="112">
        <v>80850</v>
      </c>
      <c r="AP102" s="112">
        <v>79352</v>
      </c>
    </row>
    <row r="103" spans="1:42" ht="10.5">
      <c r="A103" s="113" t="s">
        <v>159</v>
      </c>
      <c r="B103" s="114">
        <v>52.5</v>
      </c>
      <c r="C103" s="118">
        <v>52.7</v>
      </c>
      <c r="D103" s="118">
        <v>43.7</v>
      </c>
      <c r="E103" s="118">
        <v>52.128336329691606</v>
      </c>
      <c r="F103" s="118">
        <v>55.591295660014126</v>
      </c>
      <c r="G103" s="118">
        <v>54.096978535295989</v>
      </c>
      <c r="H103" s="118">
        <v>53.07</v>
      </c>
      <c r="I103" s="118">
        <v>54.235998705082558</v>
      </c>
      <c r="J103" s="118">
        <v>54.894150623294237</v>
      </c>
      <c r="K103" s="118">
        <v>51.658750762678409</v>
      </c>
      <c r="L103" s="119"/>
      <c r="M103" s="118">
        <v>52.814705399638925</v>
      </c>
      <c r="N103" s="118">
        <v>50.071379625399729</v>
      </c>
      <c r="O103" s="118">
        <v>50.471192043378664</v>
      </c>
      <c r="P103" s="199">
        <v>52.128336329691606</v>
      </c>
      <c r="Q103" s="118">
        <v>52.153194493469826</v>
      </c>
      <c r="R103" s="118">
        <v>49.539204941715653</v>
      </c>
      <c r="S103" s="118">
        <v>52.580373269114986</v>
      </c>
      <c r="T103" s="199">
        <v>55.591295660014126</v>
      </c>
      <c r="U103" s="118">
        <v>56.64</v>
      </c>
      <c r="V103" s="118">
        <v>52.75352509870276</v>
      </c>
      <c r="W103" s="118">
        <v>55.016355244880586</v>
      </c>
      <c r="X103" s="199">
        <v>54.096978535295989</v>
      </c>
      <c r="Y103" s="118">
        <v>55.933578075642451</v>
      </c>
      <c r="Z103" s="118">
        <v>47.2</v>
      </c>
      <c r="AA103" s="118">
        <v>49.30492372146167</v>
      </c>
      <c r="AB103" s="199">
        <v>53.07</v>
      </c>
      <c r="AC103" s="118">
        <v>54.983781721045602</v>
      </c>
      <c r="AD103" s="118">
        <v>51.604133659801242</v>
      </c>
      <c r="AE103" s="118">
        <v>51.499578496854937</v>
      </c>
      <c r="AF103" s="199">
        <v>54.235998705082558</v>
      </c>
      <c r="AG103" s="118">
        <v>54.308377869316885</v>
      </c>
      <c r="AH103" s="118">
        <v>50</v>
      </c>
      <c r="AI103" s="118">
        <v>52.58136209849804</v>
      </c>
      <c r="AJ103" s="199">
        <v>54.894150623294237</v>
      </c>
      <c r="AK103" s="118">
        <v>52.306468376682538</v>
      </c>
      <c r="AL103" s="118">
        <v>47.0326849017478</v>
      </c>
      <c r="AM103" s="118">
        <v>48.586420812593481</v>
      </c>
      <c r="AN103" s="199">
        <v>51.658750762678409</v>
      </c>
      <c r="AO103" s="118">
        <v>52.5</v>
      </c>
      <c r="AP103" s="118">
        <v>48.639588663028817</v>
      </c>
    </row>
    <row r="104" spans="1:42">
      <c r="A104" s="51" t="s">
        <v>133</v>
      </c>
      <c r="B104" s="121"/>
      <c r="C104" s="121"/>
      <c r="D104" s="121"/>
      <c r="E104" s="121"/>
      <c r="F104" s="121"/>
      <c r="G104" s="121"/>
      <c r="H104" s="121"/>
      <c r="I104" s="121"/>
      <c r="J104" s="121"/>
      <c r="K104" s="121"/>
      <c r="L104" s="121"/>
      <c r="M104" s="121"/>
      <c r="N104" s="121"/>
      <c r="O104" s="121"/>
      <c r="P104" s="194"/>
      <c r="Q104" s="121"/>
      <c r="R104" s="121"/>
      <c r="S104" s="121"/>
      <c r="T104" s="208"/>
      <c r="U104" s="121"/>
      <c r="V104" s="121"/>
      <c r="W104" s="121"/>
      <c r="X104" s="208"/>
      <c r="Y104" s="121"/>
      <c r="Z104" s="121"/>
      <c r="AA104" s="121"/>
      <c r="AB104" s="208"/>
      <c r="AC104" s="121"/>
      <c r="AD104" s="121"/>
      <c r="AE104" s="121"/>
      <c r="AF104" s="208"/>
      <c r="AG104" s="121"/>
      <c r="AH104" s="121"/>
      <c r="AI104" s="121"/>
      <c r="AJ104" s="208"/>
      <c r="AK104" s="121"/>
      <c r="AL104" s="121"/>
      <c r="AM104" s="121"/>
      <c r="AN104" s="208"/>
      <c r="AO104" s="121"/>
      <c r="AP104" s="121"/>
    </row>
    <row r="105" spans="1:42">
      <c r="A105" s="107"/>
      <c r="B105" s="107"/>
      <c r="C105" s="107"/>
      <c r="D105" s="317"/>
      <c r="E105" s="107"/>
      <c r="F105" s="107"/>
      <c r="G105" s="107"/>
      <c r="H105" s="107"/>
      <c r="I105" s="107"/>
      <c r="J105" s="107"/>
      <c r="K105" s="107"/>
      <c r="L105" s="107"/>
      <c r="M105" s="107"/>
      <c r="N105" s="107"/>
      <c r="O105" s="107"/>
      <c r="P105" s="194"/>
      <c r="Q105" s="107"/>
      <c r="R105" s="107"/>
      <c r="S105" s="107"/>
      <c r="T105" s="194"/>
      <c r="U105" s="107"/>
      <c r="V105" s="107"/>
      <c r="W105" s="107"/>
      <c r="X105" s="194"/>
      <c r="Y105" s="107"/>
      <c r="Z105" s="107"/>
      <c r="AA105" s="107"/>
      <c r="AB105" s="194"/>
      <c r="AC105" s="107"/>
      <c r="AD105" s="107"/>
      <c r="AE105" s="107"/>
      <c r="AF105" s="194"/>
      <c r="AG105" s="107"/>
      <c r="AH105" s="107"/>
      <c r="AI105" s="107"/>
      <c r="AJ105" s="194"/>
      <c r="AK105" s="107"/>
      <c r="AL105" s="107"/>
      <c r="AM105" s="107"/>
      <c r="AN105" s="194"/>
      <c r="AO105" s="107"/>
      <c r="AP105" s="107"/>
    </row>
    <row r="106" spans="1:42" ht="12.5">
      <c r="A106" s="585" t="s">
        <v>130</v>
      </c>
      <c r="B106" s="110" t="s">
        <v>232</v>
      </c>
      <c r="C106" s="110" t="s">
        <v>233</v>
      </c>
      <c r="D106" s="110" t="s">
        <v>234</v>
      </c>
      <c r="E106" s="110">
        <v>2018</v>
      </c>
      <c r="F106" s="110" t="s">
        <v>236</v>
      </c>
      <c r="G106" s="110" t="s">
        <v>237</v>
      </c>
      <c r="H106" s="110" t="s">
        <v>363</v>
      </c>
      <c r="I106" s="110" t="s">
        <v>451</v>
      </c>
      <c r="J106" s="110" t="s">
        <v>854</v>
      </c>
      <c r="K106" s="110" t="s">
        <v>1043</v>
      </c>
      <c r="L106" s="123"/>
      <c r="M106" s="324" t="s">
        <v>764</v>
      </c>
      <c r="N106" s="324" t="s">
        <v>765</v>
      </c>
      <c r="O106" s="324" t="s">
        <v>766</v>
      </c>
      <c r="P106" s="586" t="s">
        <v>767</v>
      </c>
      <c r="Q106" s="324" t="s">
        <v>768</v>
      </c>
      <c r="R106" s="324" t="s">
        <v>730</v>
      </c>
      <c r="S106" s="324" t="s">
        <v>731</v>
      </c>
      <c r="T106" s="586" t="s">
        <v>732</v>
      </c>
      <c r="U106" s="324" t="s">
        <v>733</v>
      </c>
      <c r="V106" s="324" t="s">
        <v>626</v>
      </c>
      <c r="W106" s="324" t="s">
        <v>620</v>
      </c>
      <c r="X106" s="586" t="s">
        <v>619</v>
      </c>
      <c r="Y106" s="324" t="s">
        <v>614</v>
      </c>
      <c r="Z106" s="324" t="s">
        <v>604</v>
      </c>
      <c r="AA106" s="324" t="s">
        <v>589</v>
      </c>
      <c r="AB106" s="586" t="s">
        <v>587</v>
      </c>
      <c r="AC106" s="324" t="s">
        <v>504</v>
      </c>
      <c r="AD106" s="324" t="s">
        <v>551</v>
      </c>
      <c r="AE106" s="324" t="s">
        <v>532</v>
      </c>
      <c r="AF106" s="586" t="s">
        <v>530</v>
      </c>
      <c r="AG106" s="324" t="s">
        <v>803</v>
      </c>
      <c r="AH106" s="324" t="s">
        <v>812</v>
      </c>
      <c r="AI106" s="324" t="s">
        <v>816</v>
      </c>
      <c r="AJ106" s="586" t="s">
        <v>835</v>
      </c>
      <c r="AK106" s="324" t="s">
        <v>872</v>
      </c>
      <c r="AL106" s="324" t="s">
        <v>986</v>
      </c>
      <c r="AM106" s="324" t="s">
        <v>1016</v>
      </c>
      <c r="AN106" s="586" t="s">
        <v>1039</v>
      </c>
      <c r="AO106" s="324" t="s">
        <v>1076</v>
      </c>
      <c r="AP106" s="324" t="s">
        <v>1285</v>
      </c>
    </row>
    <row r="107" spans="1:42">
      <c r="A107" s="111" t="s">
        <v>758</v>
      </c>
      <c r="B107" s="112">
        <v>3571</v>
      </c>
      <c r="C107" s="112">
        <v>3231</v>
      </c>
      <c r="D107" s="112">
        <v>4298</v>
      </c>
      <c r="E107" s="112">
        <v>5430</v>
      </c>
      <c r="F107" s="112">
        <v>5874</v>
      </c>
      <c r="G107" s="112">
        <v>5399</v>
      </c>
      <c r="H107" s="112">
        <v>7058</v>
      </c>
      <c r="I107" s="112">
        <v>8397</v>
      </c>
      <c r="J107" s="112">
        <v>9431</v>
      </c>
      <c r="K107" s="112">
        <v>8731</v>
      </c>
      <c r="L107" s="112"/>
      <c r="M107" s="112">
        <v>4328</v>
      </c>
      <c r="N107" s="112">
        <v>4569</v>
      </c>
      <c r="O107" s="112">
        <v>4912.0172940299999</v>
      </c>
      <c r="P107" s="195">
        <v>5430</v>
      </c>
      <c r="Q107" s="112">
        <v>5723</v>
      </c>
      <c r="R107" s="112">
        <v>6082</v>
      </c>
      <c r="S107" s="112">
        <v>6010.9827059700001</v>
      </c>
      <c r="T107" s="195">
        <v>5874</v>
      </c>
      <c r="U107" s="112">
        <v>5922</v>
      </c>
      <c r="V107" s="112">
        <v>5270</v>
      </c>
      <c r="W107" s="112">
        <v>5251</v>
      </c>
      <c r="X107" s="195">
        <v>5399</v>
      </c>
      <c r="Y107" s="112">
        <v>5366</v>
      </c>
      <c r="Z107" s="112">
        <v>6031</v>
      </c>
      <c r="AA107" s="112">
        <v>6637</v>
      </c>
      <c r="AB107" s="195">
        <v>7058</v>
      </c>
      <c r="AC107" s="112">
        <v>7669</v>
      </c>
      <c r="AD107" s="112">
        <v>7747</v>
      </c>
      <c r="AE107" s="112">
        <v>8060</v>
      </c>
      <c r="AF107" s="195">
        <v>8397</v>
      </c>
      <c r="AG107" s="112">
        <v>8690</v>
      </c>
      <c r="AH107" s="112">
        <v>9565</v>
      </c>
      <c r="AI107" s="112">
        <v>9561</v>
      </c>
      <c r="AJ107" s="195">
        <v>9431</v>
      </c>
      <c r="AK107" s="112">
        <v>9149</v>
      </c>
      <c r="AL107" s="112">
        <v>8546</v>
      </c>
      <c r="AM107" s="112">
        <v>8629</v>
      </c>
      <c r="AN107" s="195">
        <v>8731</v>
      </c>
      <c r="AO107" s="112">
        <v>8923</v>
      </c>
      <c r="AP107" s="112">
        <v>8979</v>
      </c>
    </row>
    <row r="108" spans="1:42">
      <c r="A108" s="111" t="s">
        <v>759</v>
      </c>
      <c r="B108" s="112">
        <v>14306</v>
      </c>
      <c r="C108" s="112">
        <v>15324</v>
      </c>
      <c r="D108" s="112">
        <v>14772</v>
      </c>
      <c r="E108" s="112">
        <v>16346.2</v>
      </c>
      <c r="F108" s="112">
        <v>20762.2</v>
      </c>
      <c r="G108" s="112">
        <v>23790</v>
      </c>
      <c r="H108" s="112">
        <v>23960</v>
      </c>
      <c r="I108" s="112">
        <v>29572</v>
      </c>
      <c r="J108" s="112">
        <v>35233</v>
      </c>
      <c r="K108" s="112">
        <v>39374</v>
      </c>
      <c r="L108" s="112"/>
      <c r="M108" s="112">
        <v>14818</v>
      </c>
      <c r="N108" s="112">
        <v>14848</v>
      </c>
      <c r="O108" s="112">
        <v>15089.8</v>
      </c>
      <c r="P108" s="195">
        <v>16346.2</v>
      </c>
      <c r="Q108" s="112">
        <v>18064.2</v>
      </c>
      <c r="R108" s="112">
        <v>18823.2</v>
      </c>
      <c r="S108" s="112">
        <v>19681.8</v>
      </c>
      <c r="T108" s="195">
        <v>20762.2</v>
      </c>
      <c r="U108" s="112">
        <v>21934</v>
      </c>
      <c r="V108" s="112">
        <v>22474</v>
      </c>
      <c r="W108" s="112">
        <v>23408</v>
      </c>
      <c r="X108" s="195">
        <v>23790</v>
      </c>
      <c r="Y108" s="112">
        <v>24469</v>
      </c>
      <c r="Z108" s="112">
        <v>23733</v>
      </c>
      <c r="AA108" s="112">
        <v>23716</v>
      </c>
      <c r="AB108" s="195">
        <v>23960</v>
      </c>
      <c r="AC108" s="112">
        <v>24972</v>
      </c>
      <c r="AD108" s="112">
        <v>25460</v>
      </c>
      <c r="AE108" s="112">
        <v>27617</v>
      </c>
      <c r="AF108" s="195">
        <v>29572</v>
      </c>
      <c r="AG108" s="112">
        <v>31423</v>
      </c>
      <c r="AH108" s="112">
        <v>32612</v>
      </c>
      <c r="AI108" s="112">
        <v>34221</v>
      </c>
      <c r="AJ108" s="195">
        <v>35233</v>
      </c>
      <c r="AK108" s="112">
        <v>36703</v>
      </c>
      <c r="AL108" s="112">
        <v>37246</v>
      </c>
      <c r="AM108" s="112">
        <v>38151</v>
      </c>
      <c r="AN108" s="195">
        <v>39374</v>
      </c>
      <c r="AO108" s="112">
        <v>40430</v>
      </c>
      <c r="AP108" s="112">
        <v>40073</v>
      </c>
    </row>
    <row r="109" spans="1:42" ht="10.5">
      <c r="A109" s="113" t="s">
        <v>160</v>
      </c>
      <c r="B109" s="114">
        <v>23.9</v>
      </c>
      <c r="C109" s="118">
        <v>20.399999999999999</v>
      </c>
      <c r="D109" s="118">
        <v>29.1</v>
      </c>
      <c r="E109" s="118">
        <v>33.218729735351332</v>
      </c>
      <c r="F109" s="118">
        <v>28.291799520282051</v>
      </c>
      <c r="G109" s="118">
        <v>22.694409415720891</v>
      </c>
      <c r="H109" s="118">
        <v>29.5</v>
      </c>
      <c r="I109" s="118">
        <v>28.39510347626133</v>
      </c>
      <c r="J109" s="118">
        <v>26.767519087219366</v>
      </c>
      <c r="K109" s="118">
        <v>22.174531416670902</v>
      </c>
      <c r="L109" s="119"/>
      <c r="M109" s="118">
        <v>29.207720340126876</v>
      </c>
      <c r="N109" s="118">
        <v>30.771821120689658</v>
      </c>
      <c r="O109" s="118">
        <v>32.551904558244644</v>
      </c>
      <c r="P109" s="199">
        <v>33.218729735351332</v>
      </c>
      <c r="Q109" s="118">
        <v>31.681447282470298</v>
      </c>
      <c r="R109" s="118">
        <v>32.3111904458328</v>
      </c>
      <c r="S109" s="118">
        <v>30.540817943328356</v>
      </c>
      <c r="T109" s="199">
        <v>28.291799520282051</v>
      </c>
      <c r="U109" s="118">
        <v>27</v>
      </c>
      <c r="V109" s="118">
        <v>23.44931921331316</v>
      </c>
      <c r="W109" s="118">
        <v>22.432501708817497</v>
      </c>
      <c r="X109" s="199">
        <v>22.694409415720891</v>
      </c>
      <c r="Y109" s="118">
        <v>21.929788712248151</v>
      </c>
      <c r="Z109" s="118">
        <v>25.4</v>
      </c>
      <c r="AA109" s="118">
        <v>27.985326361949735</v>
      </c>
      <c r="AB109" s="199">
        <v>29.5</v>
      </c>
      <c r="AC109" s="118">
        <v>30.710395643120297</v>
      </c>
      <c r="AD109" s="118">
        <v>30.42812254516889</v>
      </c>
      <c r="AE109" s="118">
        <v>29.184922330448636</v>
      </c>
      <c r="AF109" s="199">
        <v>28.39510347626133</v>
      </c>
      <c r="AG109" s="118">
        <v>27.654902459981539</v>
      </c>
      <c r="AH109" s="118">
        <v>29.33</v>
      </c>
      <c r="AI109" s="118">
        <v>27.938984833873938</v>
      </c>
      <c r="AJ109" s="199">
        <v>26.767519087219366</v>
      </c>
      <c r="AK109" s="118">
        <v>24.927117674304551</v>
      </c>
      <c r="AL109" s="118">
        <v>22.944745744509479</v>
      </c>
      <c r="AM109" s="118">
        <v>22.618017876333514</v>
      </c>
      <c r="AN109" s="199">
        <v>22.174531416670902</v>
      </c>
      <c r="AO109" s="118">
        <v>22.1</v>
      </c>
      <c r="AP109" s="118">
        <v>22.406607940508572</v>
      </c>
    </row>
    <row r="110" spans="1:42" ht="10.5">
      <c r="A110" s="51" t="s">
        <v>133</v>
      </c>
      <c r="B110" s="124"/>
      <c r="C110" s="124"/>
      <c r="D110" s="123"/>
      <c r="E110" s="124"/>
      <c r="F110" s="124"/>
      <c r="G110" s="124"/>
      <c r="H110" s="124"/>
      <c r="I110" s="124"/>
      <c r="J110" s="124"/>
      <c r="K110" s="124"/>
      <c r="L110" s="125"/>
      <c r="M110" s="124"/>
      <c r="N110" s="124"/>
      <c r="O110" s="124"/>
      <c r="P110" s="200"/>
      <c r="Q110" s="124"/>
      <c r="R110" s="124"/>
      <c r="S110" s="124"/>
      <c r="T110" s="207"/>
      <c r="U110" s="124"/>
      <c r="V110" s="124"/>
      <c r="W110" s="124"/>
      <c r="X110" s="207"/>
      <c r="Y110" s="124"/>
      <c r="Z110" s="124"/>
      <c r="AA110" s="124"/>
      <c r="AB110" s="207"/>
      <c r="AC110" s="124"/>
      <c r="AD110" s="124"/>
      <c r="AE110" s="124"/>
      <c r="AF110" s="207"/>
      <c r="AG110" s="124"/>
      <c r="AH110" s="124"/>
      <c r="AI110" s="124"/>
      <c r="AJ110" s="207"/>
      <c r="AK110" s="124"/>
      <c r="AL110" s="124"/>
      <c r="AM110" s="124"/>
      <c r="AN110" s="207"/>
      <c r="AO110" s="124"/>
      <c r="AP110" s="124"/>
    </row>
    <row r="111" spans="1:42" ht="10.5">
      <c r="A111" s="51" t="s">
        <v>161</v>
      </c>
      <c r="B111" s="124"/>
      <c r="C111" s="124"/>
      <c r="D111" s="123"/>
      <c r="E111" s="124"/>
      <c r="F111" s="124"/>
      <c r="G111" s="124"/>
      <c r="H111" s="124"/>
      <c r="I111" s="124"/>
      <c r="J111" s="124"/>
      <c r="K111" s="124"/>
      <c r="L111" s="125"/>
      <c r="M111" s="124"/>
      <c r="N111" s="124"/>
      <c r="O111" s="124"/>
      <c r="P111" s="200"/>
      <c r="Q111" s="124"/>
      <c r="R111" s="124"/>
      <c r="S111" s="124"/>
      <c r="T111" s="207"/>
      <c r="U111" s="124"/>
      <c r="V111" s="124"/>
      <c r="W111" s="124"/>
      <c r="X111" s="207"/>
      <c r="Y111" s="124"/>
      <c r="Z111" s="124"/>
      <c r="AA111" s="124"/>
      <c r="AB111" s="207"/>
      <c r="AC111" s="124"/>
      <c r="AD111" s="124"/>
      <c r="AE111" s="124"/>
      <c r="AF111" s="207"/>
      <c r="AG111" s="124"/>
      <c r="AH111" s="124"/>
      <c r="AI111" s="124"/>
      <c r="AJ111" s="194"/>
      <c r="AK111" s="124"/>
      <c r="AL111" s="124"/>
      <c r="AM111" s="124"/>
      <c r="AN111" s="194"/>
      <c r="AO111" s="124"/>
      <c r="AP111" s="124"/>
    </row>
    <row r="112" spans="1:42">
      <c r="A112" s="51" t="s">
        <v>162</v>
      </c>
      <c r="B112" s="107"/>
      <c r="C112" s="107"/>
      <c r="D112" s="317"/>
      <c r="E112" s="107"/>
      <c r="F112" s="107"/>
      <c r="G112" s="107"/>
      <c r="H112" s="107"/>
      <c r="I112" s="107"/>
      <c r="J112" s="107"/>
      <c r="K112" s="107"/>
      <c r="L112" s="107"/>
      <c r="M112" s="107"/>
      <c r="N112" s="107"/>
      <c r="O112" s="107"/>
      <c r="P112" s="194"/>
      <c r="Q112" s="107"/>
      <c r="R112" s="107"/>
      <c r="S112" s="107"/>
      <c r="T112" s="194"/>
      <c r="U112" s="107"/>
      <c r="V112" s="107"/>
      <c r="W112" s="107"/>
      <c r="X112" s="194"/>
      <c r="Y112" s="107"/>
      <c r="Z112" s="107"/>
      <c r="AA112" s="107"/>
      <c r="AB112" s="194"/>
      <c r="AC112" s="107"/>
      <c r="AD112" s="107"/>
      <c r="AE112" s="107"/>
      <c r="AF112" s="194"/>
      <c r="AG112" s="107"/>
      <c r="AH112" s="107"/>
      <c r="AI112" s="107"/>
      <c r="AJ112" s="194"/>
      <c r="AK112" s="107"/>
      <c r="AL112" s="107"/>
      <c r="AM112" s="107"/>
      <c r="AN112" s="194"/>
      <c r="AO112" s="107"/>
      <c r="AP112" s="107"/>
    </row>
    <row r="113" spans="1:42">
      <c r="A113" s="107"/>
      <c r="B113" s="107"/>
      <c r="C113" s="107"/>
      <c r="D113" s="317"/>
      <c r="E113" s="107"/>
      <c r="F113" s="107"/>
      <c r="G113" s="107"/>
      <c r="H113" s="107"/>
      <c r="I113" s="107"/>
      <c r="J113" s="107"/>
      <c r="K113" s="107"/>
      <c r="L113" s="107"/>
      <c r="M113" s="107"/>
      <c r="N113" s="107"/>
      <c r="O113" s="107"/>
      <c r="P113" s="194"/>
      <c r="Q113" s="107"/>
      <c r="R113" s="107"/>
      <c r="S113" s="107"/>
      <c r="T113" s="194"/>
      <c r="U113" s="107"/>
      <c r="V113" s="107"/>
      <c r="W113" s="107"/>
      <c r="X113" s="194"/>
      <c r="Y113" s="107"/>
      <c r="Z113" s="107"/>
      <c r="AA113" s="107"/>
      <c r="AB113" s="194"/>
      <c r="AC113" s="107"/>
      <c r="AD113" s="107"/>
      <c r="AE113" s="107"/>
      <c r="AF113" s="194"/>
      <c r="AG113" s="107"/>
      <c r="AH113" s="107"/>
      <c r="AI113" s="107"/>
      <c r="AJ113" s="194"/>
      <c r="AK113" s="107"/>
      <c r="AL113" s="107"/>
      <c r="AM113" s="107"/>
      <c r="AN113" s="194"/>
      <c r="AO113" s="107"/>
      <c r="AP113" s="107"/>
    </row>
    <row r="114" spans="1:42" ht="12.5">
      <c r="A114" s="585" t="s">
        <v>163</v>
      </c>
      <c r="B114" s="110">
        <v>2015</v>
      </c>
      <c r="C114" s="110">
        <v>2016</v>
      </c>
      <c r="D114" s="110" t="s">
        <v>229</v>
      </c>
      <c r="E114" s="110">
        <v>2018</v>
      </c>
      <c r="F114" s="110">
        <v>2019</v>
      </c>
      <c r="G114" s="110">
        <v>2020</v>
      </c>
      <c r="H114" s="110">
        <v>2021</v>
      </c>
      <c r="I114" s="110">
        <v>2022</v>
      </c>
      <c r="J114" s="110">
        <v>2023</v>
      </c>
      <c r="K114" s="110">
        <v>2024</v>
      </c>
      <c r="L114" s="123"/>
      <c r="M114" s="324" t="s">
        <v>764</v>
      </c>
      <c r="N114" s="324" t="s">
        <v>765</v>
      </c>
      <c r="O114" s="324" t="s">
        <v>766</v>
      </c>
      <c r="P114" s="586" t="s">
        <v>767</v>
      </c>
      <c r="Q114" s="324" t="s">
        <v>768</v>
      </c>
      <c r="R114" s="324" t="s">
        <v>730</v>
      </c>
      <c r="S114" s="324" t="s">
        <v>731</v>
      </c>
      <c r="T114" s="586" t="s">
        <v>732</v>
      </c>
      <c r="U114" s="324" t="s">
        <v>733</v>
      </c>
      <c r="V114" s="324" t="s">
        <v>626</v>
      </c>
      <c r="W114" s="324" t="s">
        <v>620</v>
      </c>
      <c r="X114" s="586" t="s">
        <v>619</v>
      </c>
      <c r="Y114" s="324" t="s">
        <v>614</v>
      </c>
      <c r="Z114" s="324" t="s">
        <v>604</v>
      </c>
      <c r="AA114" s="324" t="s">
        <v>589</v>
      </c>
      <c r="AB114" s="586" t="s">
        <v>587</v>
      </c>
      <c r="AC114" s="324" t="s">
        <v>504</v>
      </c>
      <c r="AD114" s="324" t="s">
        <v>551</v>
      </c>
      <c r="AE114" s="324" t="s">
        <v>532</v>
      </c>
      <c r="AF114" s="586" t="s">
        <v>530</v>
      </c>
      <c r="AG114" s="324" t="s">
        <v>803</v>
      </c>
      <c r="AH114" s="324" t="s">
        <v>812</v>
      </c>
      <c r="AI114" s="324" t="s">
        <v>816</v>
      </c>
      <c r="AJ114" s="586" t="s">
        <v>835</v>
      </c>
      <c r="AK114" s="324" t="s">
        <v>872</v>
      </c>
      <c r="AL114" s="324" t="s">
        <v>986</v>
      </c>
      <c r="AM114" s="324" t="s">
        <v>1016</v>
      </c>
      <c r="AN114" s="586" t="s">
        <v>1039</v>
      </c>
      <c r="AO114" s="324" t="s">
        <v>1076</v>
      </c>
      <c r="AP114" s="324" t="s">
        <v>1285</v>
      </c>
    </row>
    <row r="115" spans="1:42">
      <c r="A115" s="111" t="s">
        <v>760</v>
      </c>
      <c r="B115" s="112">
        <v>5858</v>
      </c>
      <c r="C115" s="112">
        <v>5402</v>
      </c>
      <c r="D115" s="112">
        <v>5176</v>
      </c>
      <c r="E115" s="112">
        <v>4324</v>
      </c>
      <c r="F115" s="112">
        <v>7228</v>
      </c>
      <c r="G115" s="112">
        <v>8334</v>
      </c>
      <c r="H115" s="112">
        <v>7607</v>
      </c>
      <c r="I115" s="112">
        <v>5558</v>
      </c>
      <c r="J115" s="112">
        <v>7143</v>
      </c>
      <c r="K115" s="112">
        <v>10461</v>
      </c>
      <c r="L115" s="112"/>
      <c r="M115" s="112">
        <v>979</v>
      </c>
      <c r="N115" s="112">
        <v>-62</v>
      </c>
      <c r="O115" s="112">
        <v>920</v>
      </c>
      <c r="P115" s="195">
        <v>2487</v>
      </c>
      <c r="Q115" s="112">
        <v>589</v>
      </c>
      <c r="R115" s="112">
        <v>1610</v>
      </c>
      <c r="S115" s="112">
        <v>1852</v>
      </c>
      <c r="T115" s="195">
        <v>3177</v>
      </c>
      <c r="U115" s="112">
        <v>1781</v>
      </c>
      <c r="V115" s="112">
        <v>2383</v>
      </c>
      <c r="W115" s="112">
        <v>1819</v>
      </c>
      <c r="X115" s="195">
        <v>2351</v>
      </c>
      <c r="Y115" s="112">
        <v>1823</v>
      </c>
      <c r="Z115" s="112">
        <v>1422</v>
      </c>
      <c r="AA115" s="112">
        <v>1818</v>
      </c>
      <c r="AB115" s="195">
        <v>2544</v>
      </c>
      <c r="AC115" s="112">
        <v>751</v>
      </c>
      <c r="AD115" s="112">
        <v>1400</v>
      </c>
      <c r="AE115" s="112">
        <v>1664</v>
      </c>
      <c r="AF115" s="195">
        <v>1743</v>
      </c>
      <c r="AG115" s="112">
        <v>739</v>
      </c>
      <c r="AH115" s="112">
        <v>1694</v>
      </c>
      <c r="AI115" s="112">
        <v>1917</v>
      </c>
      <c r="AJ115" s="195">
        <v>2793</v>
      </c>
      <c r="AK115" s="112">
        <v>2404</v>
      </c>
      <c r="AL115" s="112">
        <v>1611</v>
      </c>
      <c r="AM115" s="112">
        <v>2501</v>
      </c>
      <c r="AN115" s="195">
        <v>3945</v>
      </c>
      <c r="AO115" s="112">
        <v>2588</v>
      </c>
      <c r="AP115" s="112">
        <v>2122</v>
      </c>
    </row>
    <row r="116" spans="1:42">
      <c r="A116" s="111" t="s">
        <v>761</v>
      </c>
      <c r="B116" s="112">
        <v>-3175</v>
      </c>
      <c r="C116" s="112">
        <v>-1805</v>
      </c>
      <c r="D116" s="112">
        <v>5543</v>
      </c>
      <c r="E116" s="112">
        <v>-1337</v>
      </c>
      <c r="F116" s="112">
        <v>-1655</v>
      </c>
      <c r="G116" s="112">
        <v>-608</v>
      </c>
      <c r="H116" s="112">
        <v>-3473</v>
      </c>
      <c r="I116" s="112">
        <v>-5991</v>
      </c>
      <c r="J116" s="112">
        <v>-5237</v>
      </c>
      <c r="K116" s="112">
        <v>-11691</v>
      </c>
      <c r="L116" s="112"/>
      <c r="M116" s="112">
        <v>-841</v>
      </c>
      <c r="N116" s="112">
        <v>-317</v>
      </c>
      <c r="O116" s="112">
        <v>62</v>
      </c>
      <c r="P116" s="195">
        <v>-241</v>
      </c>
      <c r="Q116" s="112">
        <v>-828</v>
      </c>
      <c r="R116" s="112">
        <v>-763</v>
      </c>
      <c r="S116" s="112">
        <v>-71</v>
      </c>
      <c r="T116" s="195">
        <v>7</v>
      </c>
      <c r="U116" s="112">
        <v>-200</v>
      </c>
      <c r="V116" s="112">
        <v>-119</v>
      </c>
      <c r="W116" s="112">
        <v>-183</v>
      </c>
      <c r="X116" s="195">
        <v>-106</v>
      </c>
      <c r="Y116" s="112">
        <v>-333</v>
      </c>
      <c r="Z116" s="112">
        <v>-1486</v>
      </c>
      <c r="AA116" s="112">
        <v>-802</v>
      </c>
      <c r="AB116" s="195">
        <v>-852</v>
      </c>
      <c r="AC116" s="112">
        <v>-354</v>
      </c>
      <c r="AD116" s="112">
        <v>-623</v>
      </c>
      <c r="AE116" s="112">
        <v>-587</v>
      </c>
      <c r="AF116" s="195">
        <v>-4427</v>
      </c>
      <c r="AG116" s="112">
        <v>-3739</v>
      </c>
      <c r="AH116" s="112">
        <v>-774</v>
      </c>
      <c r="AI116" s="112">
        <v>-371</v>
      </c>
      <c r="AJ116" s="195">
        <v>-353</v>
      </c>
      <c r="AK116" s="112">
        <v>-511</v>
      </c>
      <c r="AL116" s="112">
        <v>-8703</v>
      </c>
      <c r="AM116" s="112">
        <v>-1730</v>
      </c>
      <c r="AN116" s="195">
        <v>-747</v>
      </c>
      <c r="AO116" s="112">
        <v>-281</v>
      </c>
      <c r="AP116" s="112">
        <v>-692</v>
      </c>
    </row>
    <row r="117" spans="1:42">
      <c r="A117" s="111" t="s">
        <v>762</v>
      </c>
      <c r="B117" s="112" t="s">
        <v>113</v>
      </c>
      <c r="C117" s="112" t="s">
        <v>113</v>
      </c>
      <c r="D117" s="112">
        <v>137</v>
      </c>
      <c r="E117" s="112">
        <v>546</v>
      </c>
      <c r="F117" s="112">
        <v>984</v>
      </c>
      <c r="G117" s="112">
        <v>75</v>
      </c>
      <c r="H117" s="112">
        <v>2352</v>
      </c>
      <c r="I117" s="112">
        <v>4686</v>
      </c>
      <c r="J117" s="112">
        <v>3666</v>
      </c>
      <c r="K117" s="112">
        <v>9658</v>
      </c>
      <c r="L117" s="112"/>
      <c r="M117" s="112">
        <v>482</v>
      </c>
      <c r="N117" s="112" t="s">
        <v>113</v>
      </c>
      <c r="O117" s="112" t="s">
        <v>113</v>
      </c>
      <c r="P117" s="195">
        <v>64</v>
      </c>
      <c r="Q117" s="112">
        <v>449</v>
      </c>
      <c r="R117" s="112">
        <v>578</v>
      </c>
      <c r="S117" s="112">
        <v>-33</v>
      </c>
      <c r="T117" s="195">
        <v>-10</v>
      </c>
      <c r="U117" s="112">
        <v>15</v>
      </c>
      <c r="V117" s="112">
        <v>28</v>
      </c>
      <c r="W117" s="112">
        <v>31</v>
      </c>
      <c r="X117" s="195">
        <v>1</v>
      </c>
      <c r="Y117" s="112" t="s">
        <v>113</v>
      </c>
      <c r="Z117" s="112">
        <v>1282</v>
      </c>
      <c r="AA117" s="112">
        <v>492</v>
      </c>
      <c r="AB117" s="195">
        <v>578</v>
      </c>
      <c r="AC117" s="112">
        <v>18</v>
      </c>
      <c r="AD117" s="112">
        <v>257</v>
      </c>
      <c r="AE117" s="112">
        <v>210</v>
      </c>
      <c r="AF117" s="195">
        <v>4201</v>
      </c>
      <c r="AG117" s="112">
        <v>3279</v>
      </c>
      <c r="AH117" s="112">
        <v>38</v>
      </c>
      <c r="AI117" s="112">
        <v>7</v>
      </c>
      <c r="AJ117" s="195">
        <v>342</v>
      </c>
      <c r="AK117" s="112">
        <v>0</v>
      </c>
      <c r="AL117" s="112">
        <v>8294</v>
      </c>
      <c r="AM117" s="112">
        <v>1080</v>
      </c>
      <c r="AN117" s="195">
        <v>284</v>
      </c>
      <c r="AO117" s="112">
        <v>74</v>
      </c>
      <c r="AP117" s="112">
        <v>13</v>
      </c>
    </row>
    <row r="118" spans="1:42" ht="12">
      <c r="A118" s="111" t="s">
        <v>763</v>
      </c>
      <c r="B118" s="116">
        <v>2947</v>
      </c>
      <c r="C118" s="116">
        <v>1283</v>
      </c>
      <c r="D118" s="112">
        <v>-6246</v>
      </c>
      <c r="E118" s="116">
        <v>351</v>
      </c>
      <c r="F118" s="116">
        <v>131</v>
      </c>
      <c r="G118" s="116">
        <v>-795</v>
      </c>
      <c r="H118" s="116">
        <v>381</v>
      </c>
      <c r="I118" s="116">
        <v>1409</v>
      </c>
      <c r="J118" s="116">
        <v>639</v>
      </c>
      <c r="K118" s="116">
        <v>704</v>
      </c>
      <c r="L118" s="116"/>
      <c r="M118" s="116">
        <v>46</v>
      </c>
      <c r="N118" s="116">
        <v>578</v>
      </c>
      <c r="O118" s="116">
        <v>-205</v>
      </c>
      <c r="P118" s="197">
        <v>-68</v>
      </c>
      <c r="Q118" s="116">
        <v>262</v>
      </c>
      <c r="R118" s="116">
        <v>81</v>
      </c>
      <c r="S118" s="116">
        <v>135</v>
      </c>
      <c r="T118" s="197">
        <v>-347</v>
      </c>
      <c r="U118" s="116">
        <v>-64</v>
      </c>
      <c r="V118" s="116">
        <v>-329</v>
      </c>
      <c r="W118" s="116">
        <v>-312</v>
      </c>
      <c r="X118" s="197">
        <v>-90</v>
      </c>
      <c r="Y118" s="116">
        <v>120</v>
      </c>
      <c r="Z118" s="116">
        <v>11</v>
      </c>
      <c r="AA118" s="116">
        <v>105</v>
      </c>
      <c r="AB118" s="197">
        <v>145</v>
      </c>
      <c r="AC118" s="116">
        <v>452</v>
      </c>
      <c r="AD118" s="116">
        <v>428</v>
      </c>
      <c r="AE118" s="116">
        <v>527</v>
      </c>
      <c r="AF118" s="197">
        <v>2</v>
      </c>
      <c r="AG118" s="116">
        <v>59</v>
      </c>
      <c r="AH118" s="116">
        <v>591</v>
      </c>
      <c r="AI118" s="116">
        <v>336</v>
      </c>
      <c r="AJ118" s="197">
        <v>-347</v>
      </c>
      <c r="AK118" s="116">
        <v>-115</v>
      </c>
      <c r="AL118" s="116">
        <v>407</v>
      </c>
      <c r="AM118" s="116">
        <v>-62</v>
      </c>
      <c r="AN118" s="197">
        <v>474</v>
      </c>
      <c r="AO118" s="116">
        <v>-812</v>
      </c>
      <c r="AP118" s="116">
        <v>-339</v>
      </c>
    </row>
    <row r="119" spans="1:42" ht="10.5">
      <c r="A119" s="113" t="s">
        <v>118</v>
      </c>
      <c r="B119" s="117">
        <v>5630</v>
      </c>
      <c r="C119" s="117">
        <v>4880</v>
      </c>
      <c r="D119" s="117">
        <v>4610</v>
      </c>
      <c r="E119" s="117">
        <v>3884</v>
      </c>
      <c r="F119" s="117">
        <v>6688</v>
      </c>
      <c r="G119" s="117">
        <v>7006</v>
      </c>
      <c r="H119" s="117">
        <v>6867</v>
      </c>
      <c r="I119" s="117">
        <v>5662</v>
      </c>
      <c r="J119" s="117">
        <v>6211</v>
      </c>
      <c r="K119" s="117">
        <v>9132</v>
      </c>
      <c r="L119" s="608"/>
      <c r="M119" s="117">
        <v>666</v>
      </c>
      <c r="N119" s="117">
        <v>199</v>
      </c>
      <c r="O119" s="117">
        <v>777</v>
      </c>
      <c r="P119" s="198">
        <v>2242</v>
      </c>
      <c r="Q119" s="117">
        <v>472</v>
      </c>
      <c r="R119" s="117">
        <v>1506</v>
      </c>
      <c r="S119" s="117">
        <v>1883</v>
      </c>
      <c r="T119" s="198">
        <v>2827</v>
      </c>
      <c r="U119" s="117">
        <v>1532</v>
      </c>
      <c r="V119" s="117">
        <v>1963</v>
      </c>
      <c r="W119" s="117">
        <v>1355</v>
      </c>
      <c r="X119" s="198">
        <v>2156</v>
      </c>
      <c r="Y119" s="117">
        <v>1610</v>
      </c>
      <c r="Z119" s="117">
        <v>1229</v>
      </c>
      <c r="AA119" s="117">
        <v>1613</v>
      </c>
      <c r="AB119" s="198">
        <v>2415</v>
      </c>
      <c r="AC119" s="117">
        <v>867</v>
      </c>
      <c r="AD119" s="117">
        <v>1462</v>
      </c>
      <c r="AE119" s="117">
        <v>1814</v>
      </c>
      <c r="AF119" s="198">
        <v>1519</v>
      </c>
      <c r="AG119" s="117">
        <v>338</v>
      </c>
      <c r="AH119" s="117">
        <v>1549</v>
      </c>
      <c r="AI119" s="117">
        <v>1889</v>
      </c>
      <c r="AJ119" s="198">
        <v>2435</v>
      </c>
      <c r="AK119" s="117">
        <v>1778</v>
      </c>
      <c r="AL119" s="117">
        <v>1609</v>
      </c>
      <c r="AM119" s="117">
        <v>1789</v>
      </c>
      <c r="AN119" s="198">
        <v>3956</v>
      </c>
      <c r="AO119" s="117">
        <v>1569</v>
      </c>
      <c r="AP119" s="117">
        <v>1104</v>
      </c>
    </row>
    <row r="120" spans="1:42">
      <c r="A120" s="111" t="s">
        <v>164</v>
      </c>
      <c r="B120" s="112">
        <v>1212</v>
      </c>
      <c r="C120" s="112">
        <v>1212</v>
      </c>
      <c r="D120" s="112">
        <v>1212</v>
      </c>
      <c r="E120" s="112">
        <v>1205.607634</v>
      </c>
      <c r="F120" s="112">
        <v>1200.8869999999999</v>
      </c>
      <c r="G120" s="112">
        <v>1206</v>
      </c>
      <c r="H120" s="112">
        <v>1206</v>
      </c>
      <c r="I120" s="112">
        <v>1206</v>
      </c>
      <c r="J120" s="112">
        <v>1206</v>
      </c>
      <c r="K120" s="112">
        <v>4831.370701235749</v>
      </c>
      <c r="L120" s="112"/>
      <c r="M120" s="112">
        <v>1212</v>
      </c>
      <c r="N120" s="112">
        <v>1214</v>
      </c>
      <c r="O120" s="112">
        <v>1209.8633910000001</v>
      </c>
      <c r="P120" s="195">
        <v>1200.9032130000001</v>
      </c>
      <c r="Q120" s="112">
        <v>1199.222</v>
      </c>
      <c r="R120" s="112">
        <v>1199.80457</v>
      </c>
      <c r="S120" s="112">
        <v>1201.713493</v>
      </c>
      <c r="T120" s="195">
        <v>1202.696021</v>
      </c>
      <c r="U120" s="112">
        <v>1203</v>
      </c>
      <c r="V120" s="112">
        <v>1203.9224839999999</v>
      </c>
      <c r="W120" s="112">
        <v>1204.855</v>
      </c>
      <c r="X120" s="195">
        <v>1205.7180000000001</v>
      </c>
      <c r="Y120" s="112">
        <v>1205.999</v>
      </c>
      <c r="Z120" s="112">
        <v>1206</v>
      </c>
      <c r="AA120" s="112">
        <v>1206.645</v>
      </c>
      <c r="AB120" s="195">
        <v>1206.181</v>
      </c>
      <c r="AC120" s="112">
        <v>1206.2950000000001</v>
      </c>
      <c r="AD120" s="112">
        <v>1206.557</v>
      </c>
      <c r="AE120" s="112">
        <v>1206.5709999999999</v>
      </c>
      <c r="AF120" s="195">
        <v>1205.903</v>
      </c>
      <c r="AG120" s="112">
        <v>1205.826</v>
      </c>
      <c r="AH120" s="112">
        <v>1206</v>
      </c>
      <c r="AI120" s="112">
        <v>1206.7383717076923</v>
      </c>
      <c r="AJ120" s="195">
        <v>1206.8609714603172</v>
      </c>
      <c r="AK120" s="112">
        <v>1207.1120745714286</v>
      </c>
      <c r="AL120" s="112">
        <v>1207.8629251999998</v>
      </c>
      <c r="AM120" s="112">
        <v>1208.1109288030302</v>
      </c>
      <c r="AN120" s="195">
        <v>1208.2847726612904</v>
      </c>
      <c r="AO120" s="112">
        <v>1209</v>
      </c>
      <c r="AP120" s="112">
        <v>1208.9256568135593</v>
      </c>
    </row>
    <row r="121" spans="1:42" ht="10.5">
      <c r="A121" s="113" t="s">
        <v>101</v>
      </c>
      <c r="B121" s="114">
        <v>4.5999999999999996</v>
      </c>
      <c r="C121" s="118">
        <v>4</v>
      </c>
      <c r="D121" s="118">
        <v>3.8</v>
      </c>
      <c r="E121" s="118">
        <v>3.2216119825930036</v>
      </c>
      <c r="F121" s="118">
        <v>5.5692167539493731</v>
      </c>
      <c r="G121" s="118">
        <v>5.8</v>
      </c>
      <c r="H121" s="118">
        <v>5.69</v>
      </c>
      <c r="I121" s="118">
        <v>4.7</v>
      </c>
      <c r="J121" s="118">
        <v>5.15</v>
      </c>
      <c r="K121" s="118">
        <v>1.89</v>
      </c>
      <c r="L121" s="119"/>
      <c r="M121" s="118">
        <v>0.5</v>
      </c>
      <c r="N121" s="118">
        <v>0.2</v>
      </c>
      <c r="O121" s="118">
        <v>0.64222126711163541</v>
      </c>
      <c r="P121" s="199">
        <v>1.8669281385293452</v>
      </c>
      <c r="Q121" s="118">
        <v>0.39358850988390809</v>
      </c>
      <c r="R121" s="118">
        <v>1.2552044204999153</v>
      </c>
      <c r="S121" s="118">
        <v>1.566929231442024</v>
      </c>
      <c r="T121" s="199">
        <v>2.3505523845081382</v>
      </c>
      <c r="U121" s="118">
        <v>1.27</v>
      </c>
      <c r="V121" s="118">
        <v>1.6305036462796056</v>
      </c>
      <c r="W121" s="118">
        <v>1.1246166551161758</v>
      </c>
      <c r="X121" s="199">
        <v>1.7881461502606744</v>
      </c>
      <c r="Y121" s="118">
        <v>1.334992815085253</v>
      </c>
      <c r="Z121" s="118">
        <v>1.02</v>
      </c>
      <c r="AA121" s="118">
        <v>1.3036145676648889</v>
      </c>
      <c r="AB121" s="199">
        <v>2.0021870681100098</v>
      </c>
      <c r="AC121" s="118">
        <v>0.71872966397108495</v>
      </c>
      <c r="AD121" s="118">
        <v>1.211712335181844</v>
      </c>
      <c r="AE121" s="118">
        <v>1.5034341120414796</v>
      </c>
      <c r="AF121" s="199">
        <v>1.2596369691426259</v>
      </c>
      <c r="AG121" s="118">
        <v>0.28030578209459739</v>
      </c>
      <c r="AH121" s="118">
        <v>1.3</v>
      </c>
      <c r="AI121" s="118">
        <v>1.5653765922159402</v>
      </c>
      <c r="AJ121" s="199">
        <v>2.0176309099246277</v>
      </c>
      <c r="AK121" s="118">
        <v>1.4729369686996616</v>
      </c>
      <c r="AL121" s="118">
        <v>1.3321047996680413</v>
      </c>
      <c r="AM121" s="118">
        <v>1.4800364414976033</v>
      </c>
      <c r="AN121" s="199">
        <v>3.274062612977211</v>
      </c>
      <c r="AO121" s="118" t="s">
        <v>347</v>
      </c>
      <c r="AP121" s="118">
        <v>0.91320751923644472</v>
      </c>
    </row>
    <row r="122" spans="1:42">
      <c r="A122" s="51" t="s">
        <v>135</v>
      </c>
      <c r="B122" s="121"/>
      <c r="C122" s="121"/>
      <c r="D122" s="121"/>
      <c r="E122" s="121"/>
      <c r="F122" s="121"/>
      <c r="G122" s="121"/>
      <c r="H122" s="121"/>
      <c r="I122" s="121"/>
      <c r="J122" s="121"/>
      <c r="K122" s="121"/>
      <c r="L122" s="121"/>
      <c r="M122" s="121"/>
      <c r="N122" s="121"/>
      <c r="O122" s="121"/>
      <c r="P122" s="107"/>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row>
    <row r="123" spans="1:42">
      <c r="A123" s="51" t="s">
        <v>165</v>
      </c>
      <c r="B123" s="107"/>
      <c r="C123" s="107"/>
      <c r="D123" s="31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row>
    <row r="124" spans="1:42">
      <c r="A124" s="107"/>
      <c r="B124" s="107"/>
      <c r="C124" s="107"/>
      <c r="D124" s="31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row>
    <row r="125" spans="1:42">
      <c r="A125" s="107"/>
      <c r="B125" s="107"/>
      <c r="C125" s="107"/>
      <c r="D125" s="31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row>
    <row r="126" spans="1:42">
      <c r="A126" s="107"/>
      <c r="B126" s="107"/>
      <c r="C126" s="107"/>
      <c r="D126" s="31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row>
    <row r="127" spans="1:42">
      <c r="A127" s="122"/>
      <c r="B127" s="107"/>
      <c r="C127" s="107"/>
      <c r="D127" s="31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row>
    <row r="128" spans="1:42">
      <c r="A128" s="107"/>
      <c r="B128" s="107"/>
      <c r="C128" s="107"/>
      <c r="D128" s="31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row>
    <row r="129" spans="1:42">
      <c r="A129" s="107"/>
      <c r="B129" s="107"/>
      <c r="C129" s="412"/>
      <c r="D129" s="413"/>
      <c r="E129" s="412"/>
      <c r="F129" s="412"/>
      <c r="G129" s="412"/>
      <c r="H129" s="412"/>
      <c r="I129" s="412"/>
      <c r="J129" s="412"/>
      <c r="K129" s="412"/>
      <c r="L129" s="107"/>
      <c r="M129" s="412"/>
      <c r="N129" s="412"/>
      <c r="O129" s="412"/>
      <c r="P129" s="107"/>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row>
    <row r="130" spans="1:42">
      <c r="A130" s="107"/>
      <c r="B130" s="107"/>
      <c r="C130" s="107"/>
      <c r="D130" s="31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row>
    <row r="131" spans="1:42">
      <c r="A131" s="107"/>
      <c r="B131" s="107"/>
      <c r="C131" s="107"/>
      <c r="D131" s="31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row>
    <row r="132" spans="1:42">
      <c r="A132" s="107"/>
      <c r="B132" s="107"/>
      <c r="C132" s="107"/>
      <c r="D132" s="31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row>
    <row r="133" spans="1:42">
      <c r="A133" s="107"/>
      <c r="B133" s="107"/>
      <c r="C133" s="107"/>
      <c r="D133" s="31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row>
    <row r="134" spans="1:42">
      <c r="A134" s="107"/>
      <c r="B134" s="107"/>
      <c r="C134" s="107"/>
      <c r="D134" s="31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row>
    <row r="135" spans="1:42">
      <c r="A135" s="107"/>
      <c r="B135" s="107"/>
      <c r="C135" s="107"/>
      <c r="D135" s="31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row>
    <row r="136" spans="1:42">
      <c r="A136" s="107"/>
      <c r="B136" s="107"/>
      <c r="C136" s="107"/>
      <c r="D136" s="31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row>
    <row r="137" spans="1:42">
      <c r="A137" s="107"/>
      <c r="B137" s="107"/>
      <c r="C137" s="107"/>
      <c r="D137" s="31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row>
    <row r="138" spans="1:42">
      <c r="A138" s="107"/>
      <c r="B138" s="107"/>
      <c r="C138" s="107"/>
      <c r="D138" s="31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row>
    <row r="139" spans="1:42">
      <c r="A139" s="107"/>
      <c r="B139" s="107"/>
      <c r="C139" s="107"/>
      <c r="D139" s="31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row>
    <row r="140" spans="1:42">
      <c r="A140" s="107"/>
      <c r="B140" s="107"/>
      <c r="C140" s="107"/>
      <c r="D140" s="31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row>
    <row r="141" spans="1:42">
      <c r="A141" s="107"/>
      <c r="B141" s="107"/>
      <c r="C141" s="107"/>
      <c r="D141" s="31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row>
    <row r="142" spans="1:42">
      <c r="A142" s="107"/>
      <c r="B142" s="107"/>
      <c r="C142" s="107"/>
      <c r="D142" s="31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row>
    <row r="143" spans="1:42">
      <c r="A143" s="107"/>
      <c r="B143" s="107"/>
      <c r="C143" s="107"/>
      <c r="D143" s="31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row>
    <row r="144" spans="1:42">
      <c r="A144" s="107"/>
      <c r="B144" s="107"/>
      <c r="C144" s="107"/>
      <c r="D144" s="31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row>
    <row r="145" spans="1:42">
      <c r="A145" s="107"/>
      <c r="B145" s="107"/>
      <c r="C145" s="107"/>
      <c r="D145" s="31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row>
    <row r="146" spans="1:42">
      <c r="A146" s="107"/>
      <c r="B146" s="107"/>
      <c r="C146" s="107"/>
      <c r="D146" s="31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row>
    <row r="147" spans="1:42">
      <c r="A147" s="107"/>
      <c r="B147" s="107"/>
      <c r="C147" s="107"/>
      <c r="D147" s="31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row>
    <row r="148" spans="1:42">
      <c r="A148" s="107"/>
      <c r="B148" s="107"/>
      <c r="C148" s="107"/>
      <c r="D148" s="31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row>
    <row r="149" spans="1:42">
      <c r="A149" s="107"/>
      <c r="B149" s="107"/>
      <c r="C149" s="107"/>
      <c r="D149" s="31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row>
    <row r="150" spans="1:42">
      <c r="A150" s="107"/>
      <c r="B150" s="107"/>
      <c r="C150" s="107"/>
      <c r="D150" s="31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row>
    <row r="151" spans="1:42">
      <c r="A151" s="107"/>
      <c r="B151" s="107"/>
      <c r="C151" s="107"/>
      <c r="D151" s="31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row>
    <row r="152" spans="1:42">
      <c r="A152" s="107"/>
      <c r="B152" s="107"/>
      <c r="C152" s="107"/>
      <c r="D152" s="31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row>
    <row r="153" spans="1:42">
      <c r="A153" s="107"/>
      <c r="B153" s="107"/>
      <c r="C153" s="107"/>
      <c r="D153" s="31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row>
    <row r="154" spans="1:42">
      <c r="A154" s="107"/>
      <c r="B154" s="107"/>
      <c r="C154" s="107"/>
      <c r="D154" s="31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row>
    <row r="155" spans="1:42">
      <c r="A155" s="107"/>
      <c r="B155" s="107"/>
      <c r="C155" s="107"/>
      <c r="D155" s="31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row>
    <row r="156" spans="1:42">
      <c r="A156" s="107"/>
      <c r="B156" s="107"/>
      <c r="C156" s="107"/>
      <c r="D156" s="31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row>
    <row r="157" spans="1:42">
      <c r="A157" s="107"/>
      <c r="B157" s="107"/>
      <c r="C157" s="107"/>
      <c r="D157" s="31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row>
    <row r="158" spans="1:42">
      <c r="A158" s="107"/>
      <c r="B158" s="107"/>
      <c r="C158" s="107"/>
      <c r="D158" s="31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row>
    <row r="159" spans="1:42">
      <c r="A159" s="107"/>
      <c r="B159" s="107"/>
      <c r="C159" s="107"/>
      <c r="D159" s="31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row>
    <row r="160" spans="1:42">
      <c r="A160" s="107"/>
      <c r="B160" s="107"/>
      <c r="C160" s="107"/>
      <c r="D160" s="31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row>
    <row r="161" spans="1:42">
      <c r="A161" s="107"/>
      <c r="B161" s="107"/>
      <c r="C161" s="107"/>
      <c r="D161" s="31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row>
    <row r="162" spans="1:42">
      <c r="A162" s="107"/>
      <c r="B162" s="107"/>
      <c r="C162" s="107"/>
      <c r="D162" s="31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row>
    <row r="163" spans="1:42">
      <c r="A163" s="107"/>
      <c r="B163" s="107"/>
      <c r="C163" s="107"/>
      <c r="D163" s="31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row>
    <row r="164" spans="1:42">
      <c r="A164" s="107"/>
      <c r="B164" s="107"/>
      <c r="C164" s="107"/>
      <c r="D164" s="31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row>
    <row r="165" spans="1:42">
      <c r="A165" s="107"/>
      <c r="B165" s="107"/>
      <c r="C165" s="107"/>
      <c r="D165" s="31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row>
    <row r="166" spans="1:42">
      <c r="A166" s="107"/>
      <c r="B166" s="107"/>
      <c r="C166" s="107"/>
      <c r="D166" s="31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row>
    <row r="167" spans="1:42">
      <c r="A167" s="107"/>
      <c r="B167" s="107"/>
      <c r="C167" s="107"/>
      <c r="D167" s="31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row>
    <row r="168" spans="1:42">
      <c r="A168" s="107"/>
      <c r="B168" s="107"/>
      <c r="C168" s="107"/>
      <c r="D168" s="31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row>
    <row r="169" spans="1:42">
      <c r="A169" s="107"/>
      <c r="B169" s="107"/>
      <c r="C169" s="107"/>
      <c r="D169" s="31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row>
    <row r="170" spans="1:42">
      <c r="A170" s="107"/>
      <c r="B170" s="107"/>
      <c r="C170" s="107"/>
      <c r="D170" s="31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row>
    <row r="171" spans="1:42">
      <c r="A171" s="107"/>
      <c r="B171" s="107"/>
      <c r="C171" s="107"/>
      <c r="D171" s="31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row>
    <row r="172" spans="1:42">
      <c r="A172" s="107"/>
      <c r="B172" s="107"/>
      <c r="C172" s="107"/>
      <c r="D172" s="31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row>
    <row r="173" spans="1:42">
      <c r="A173" s="107"/>
      <c r="B173" s="107"/>
      <c r="C173" s="107"/>
      <c r="D173" s="31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row>
    <row r="174" spans="1:42">
      <c r="A174" s="107"/>
      <c r="B174" s="107"/>
      <c r="C174" s="107"/>
      <c r="D174" s="31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row>
    <row r="175" spans="1:42">
      <c r="A175" s="107"/>
      <c r="B175" s="107"/>
      <c r="C175" s="107"/>
      <c r="D175" s="31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row>
    <row r="176" spans="1:42">
      <c r="A176" s="107"/>
      <c r="B176" s="107"/>
      <c r="C176" s="107"/>
      <c r="D176" s="31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row>
    <row r="177" spans="1:42">
      <c r="A177" s="107"/>
      <c r="B177" s="107"/>
      <c r="C177" s="107"/>
      <c r="D177" s="31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row>
    <row r="178" spans="1:42">
      <c r="A178" s="107"/>
      <c r="B178" s="107"/>
      <c r="C178" s="107"/>
      <c r="D178" s="31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row>
    <row r="179" spans="1:42">
      <c r="A179" s="107"/>
      <c r="B179" s="107"/>
      <c r="C179" s="107"/>
      <c r="D179" s="31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row>
    <row r="180" spans="1:42">
      <c r="A180" s="107"/>
      <c r="B180" s="107"/>
      <c r="C180" s="107"/>
      <c r="D180" s="31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row>
    <row r="181" spans="1:42">
      <c r="A181" s="107"/>
      <c r="B181" s="107"/>
      <c r="C181" s="107"/>
      <c r="D181" s="31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row>
    <row r="182" spans="1:42">
      <c r="A182" s="107"/>
      <c r="B182" s="107"/>
      <c r="C182" s="107"/>
      <c r="D182" s="31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row>
    <row r="183" spans="1:42">
      <c r="A183" s="107"/>
      <c r="B183" s="107"/>
      <c r="C183" s="107"/>
      <c r="D183" s="31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row>
    <row r="184" spans="1:42">
      <c r="A184" s="107"/>
      <c r="B184" s="107"/>
      <c r="C184" s="107"/>
      <c r="D184" s="31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row>
    <row r="185" spans="1:42">
      <c r="A185" s="107"/>
      <c r="B185" s="107"/>
      <c r="C185" s="107"/>
      <c r="D185" s="31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row>
    <row r="186" spans="1:42">
      <c r="A186" s="107"/>
      <c r="B186" s="107"/>
      <c r="C186" s="107"/>
      <c r="D186" s="31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row>
    <row r="187" spans="1:42">
      <c r="A187" s="107"/>
      <c r="B187" s="107"/>
      <c r="C187" s="107"/>
      <c r="D187" s="31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row>
    <row r="188" spans="1:42">
      <c r="A188" s="107"/>
      <c r="B188" s="107"/>
      <c r="C188" s="107"/>
      <c r="D188" s="31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row>
    <row r="189" spans="1:42">
      <c r="A189" s="107"/>
      <c r="B189" s="107"/>
      <c r="C189" s="107"/>
      <c r="D189" s="31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row>
    <row r="190" spans="1:42">
      <c r="A190" s="107"/>
      <c r="B190" s="107"/>
      <c r="C190" s="107"/>
      <c r="D190" s="31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row>
    <row r="191" spans="1:42">
      <c r="A191" s="107"/>
      <c r="B191" s="107"/>
      <c r="C191" s="107"/>
      <c r="D191" s="31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row>
    <row r="192" spans="1:42">
      <c r="A192" s="107"/>
      <c r="B192" s="107"/>
      <c r="C192" s="107"/>
      <c r="D192" s="31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row>
    <row r="193" spans="1:42">
      <c r="A193" s="107"/>
      <c r="B193" s="107"/>
      <c r="C193" s="107"/>
      <c r="D193" s="31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row>
    <row r="194" spans="1:42">
      <c r="A194" s="107"/>
      <c r="B194" s="107"/>
      <c r="C194" s="107"/>
      <c r="D194" s="31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row>
    <row r="195" spans="1:42">
      <c r="A195" s="107"/>
      <c r="B195" s="107"/>
      <c r="C195" s="107"/>
      <c r="D195" s="31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row>
    <row r="196" spans="1:42">
      <c r="A196" s="107"/>
      <c r="B196" s="107"/>
      <c r="C196" s="107"/>
      <c r="D196" s="31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row>
    <row r="197" spans="1:42">
      <c r="A197" s="107"/>
      <c r="B197" s="107"/>
      <c r="C197" s="107"/>
      <c r="D197" s="31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row>
    <row r="198" spans="1:42">
      <c r="A198" s="107"/>
      <c r="B198" s="107"/>
      <c r="C198" s="107"/>
      <c r="D198" s="31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row>
    <row r="199" spans="1:42">
      <c r="A199" s="107"/>
      <c r="B199" s="107"/>
      <c r="C199" s="107"/>
      <c r="D199" s="31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row>
    <row r="200" spans="1:42">
      <c r="A200" s="107"/>
      <c r="B200" s="107"/>
      <c r="C200" s="107"/>
      <c r="D200" s="31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row>
    <row r="201" spans="1:42">
      <c r="A201" s="107"/>
      <c r="B201" s="107"/>
      <c r="C201" s="107"/>
      <c r="D201" s="31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row>
    <row r="202" spans="1:42">
      <c r="A202" s="107"/>
      <c r="B202" s="107"/>
      <c r="C202" s="107"/>
      <c r="D202" s="31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row>
    <row r="203" spans="1:42">
      <c r="A203" s="107"/>
      <c r="B203" s="107"/>
      <c r="C203" s="107"/>
      <c r="D203" s="31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row>
    <row r="204" spans="1:42">
      <c r="A204" s="107"/>
      <c r="B204" s="107"/>
      <c r="C204" s="107"/>
      <c r="D204" s="31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row>
    <row r="205" spans="1:42">
      <c r="A205" s="107"/>
      <c r="B205" s="107"/>
      <c r="C205" s="107"/>
      <c r="D205" s="31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row>
    <row r="206" spans="1:42">
      <c r="A206" s="107"/>
      <c r="B206" s="107"/>
      <c r="C206" s="107"/>
      <c r="D206" s="31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row>
    <row r="207" spans="1:42">
      <c r="A207" s="107"/>
      <c r="B207" s="107"/>
      <c r="C207" s="107"/>
      <c r="D207" s="31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row>
    <row r="208" spans="1:42">
      <c r="A208" s="107"/>
      <c r="B208" s="107"/>
      <c r="C208" s="107"/>
      <c r="D208" s="31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row>
    <row r="209" spans="1:42">
      <c r="A209" s="107"/>
      <c r="B209" s="107"/>
      <c r="C209" s="107"/>
      <c r="D209" s="31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row>
    <row r="210" spans="1:42">
      <c r="A210" s="107"/>
      <c r="B210" s="107"/>
      <c r="C210" s="107"/>
      <c r="D210" s="31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row>
    <row r="211" spans="1:42">
      <c r="A211" s="107"/>
      <c r="B211" s="107"/>
      <c r="C211" s="107"/>
      <c r="D211" s="31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row>
    <row r="212" spans="1:42">
      <c r="A212" s="107"/>
      <c r="B212" s="107"/>
      <c r="C212" s="107"/>
      <c r="D212" s="31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row>
    <row r="213" spans="1:42">
      <c r="A213" s="107"/>
      <c r="B213" s="107"/>
      <c r="C213" s="107"/>
      <c r="D213" s="31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row>
    <row r="214" spans="1:42">
      <c r="A214" s="107"/>
      <c r="B214" s="107"/>
      <c r="C214" s="107"/>
      <c r="D214" s="31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row>
    <row r="215" spans="1:42">
      <c r="A215" s="107"/>
      <c r="B215" s="107"/>
      <c r="C215" s="107"/>
      <c r="D215" s="31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row>
    <row r="216" spans="1:42">
      <c r="A216" s="107"/>
      <c r="B216" s="107"/>
      <c r="C216" s="107"/>
      <c r="D216" s="31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row>
    <row r="217" spans="1:42">
      <c r="A217" s="107"/>
      <c r="B217" s="107"/>
      <c r="C217" s="107"/>
      <c r="D217" s="31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row>
    <row r="218" spans="1:42">
      <c r="A218" s="107"/>
      <c r="B218" s="107"/>
      <c r="C218" s="107"/>
      <c r="D218" s="31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row>
    <row r="219" spans="1:42">
      <c r="A219" s="107"/>
      <c r="B219" s="107"/>
      <c r="C219" s="107"/>
      <c r="D219" s="31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row>
    <row r="220" spans="1:42">
      <c r="A220" s="107"/>
      <c r="B220" s="107"/>
      <c r="C220" s="107"/>
      <c r="D220" s="31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row>
    <row r="221" spans="1:42">
      <c r="A221" s="107"/>
      <c r="B221" s="107"/>
      <c r="C221" s="107"/>
      <c r="D221" s="31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row>
    <row r="222" spans="1:42">
      <c r="A222" s="107"/>
      <c r="B222" s="107"/>
      <c r="C222" s="107"/>
      <c r="D222" s="31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row>
    <row r="223" spans="1:42">
      <c r="A223" s="107"/>
      <c r="B223" s="107"/>
      <c r="C223" s="107"/>
      <c r="D223" s="31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row>
    <row r="224" spans="1:42">
      <c r="A224" s="107"/>
      <c r="B224" s="107"/>
      <c r="C224" s="107"/>
      <c r="D224" s="31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row>
    <row r="225" spans="1:42">
      <c r="A225" s="107"/>
      <c r="B225" s="107"/>
      <c r="C225" s="107"/>
      <c r="D225" s="31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row>
    <row r="226" spans="1:42">
      <c r="A226" s="107"/>
      <c r="B226" s="107"/>
      <c r="C226" s="107"/>
      <c r="D226" s="31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row>
    <row r="227" spans="1:42">
      <c r="A227" s="107"/>
      <c r="B227" s="107"/>
      <c r="C227" s="107"/>
      <c r="D227" s="31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row>
    <row r="228" spans="1:42">
      <c r="A228" s="107"/>
      <c r="B228" s="107"/>
      <c r="C228" s="107"/>
      <c r="D228" s="31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row>
    <row r="229" spans="1:42">
      <c r="A229" s="107"/>
      <c r="B229" s="107"/>
      <c r="C229" s="107"/>
      <c r="D229" s="31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row>
    <row r="230" spans="1:42">
      <c r="A230" s="107"/>
      <c r="B230" s="107"/>
      <c r="C230" s="107"/>
      <c r="D230" s="31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row>
    <row r="231" spans="1:42">
      <c r="A231" s="107"/>
      <c r="B231" s="107"/>
      <c r="C231" s="107"/>
      <c r="D231" s="31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row>
    <row r="232" spans="1:42">
      <c r="A232" s="107"/>
      <c r="B232" s="107"/>
      <c r="C232" s="107"/>
      <c r="D232" s="31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row>
    <row r="233" spans="1:42">
      <c r="A233" s="107"/>
      <c r="B233" s="107"/>
      <c r="C233" s="107"/>
      <c r="D233" s="31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row>
    <row r="234" spans="1:42">
      <c r="A234" s="107"/>
      <c r="B234" s="107"/>
      <c r="C234" s="107"/>
      <c r="D234" s="31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row>
    <row r="235" spans="1:42">
      <c r="A235" s="107"/>
      <c r="B235" s="107"/>
      <c r="C235" s="107"/>
      <c r="D235" s="31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row>
    <row r="236" spans="1:42">
      <c r="A236" s="107"/>
      <c r="B236" s="107"/>
      <c r="C236" s="107"/>
      <c r="D236" s="31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row>
    <row r="237" spans="1:42">
      <c r="A237" s="107"/>
      <c r="B237" s="107"/>
      <c r="C237" s="107"/>
      <c r="D237" s="31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row>
    <row r="238" spans="1:42">
      <c r="A238" s="107"/>
      <c r="B238" s="107"/>
      <c r="C238" s="107"/>
      <c r="D238" s="31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row>
    <row r="239" spans="1:42">
      <c r="A239" s="107"/>
      <c r="B239" s="107"/>
      <c r="C239" s="107"/>
      <c r="D239" s="31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row>
    <row r="240" spans="1:42">
      <c r="A240" s="107"/>
      <c r="B240" s="107"/>
      <c r="C240" s="107"/>
      <c r="D240" s="31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row>
    <row r="241" spans="1:42">
      <c r="A241" s="107"/>
      <c r="B241" s="107"/>
      <c r="C241" s="107"/>
      <c r="D241" s="31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row>
    <row r="242" spans="1:42">
      <c r="A242" s="107"/>
      <c r="B242" s="107"/>
      <c r="C242" s="107"/>
      <c r="D242" s="31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row>
    <row r="243" spans="1:42">
      <c r="A243" s="107"/>
      <c r="B243" s="107"/>
      <c r="C243" s="107"/>
      <c r="D243" s="31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row>
    <row r="244" spans="1:42">
      <c r="A244" s="107"/>
      <c r="B244" s="107"/>
      <c r="C244" s="107"/>
      <c r="D244" s="31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row>
    <row r="245" spans="1:42">
      <c r="A245" s="107"/>
      <c r="B245" s="107"/>
      <c r="C245" s="107"/>
      <c r="D245" s="31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row>
    <row r="246" spans="1:42">
      <c r="A246" s="107"/>
      <c r="B246" s="107"/>
      <c r="C246" s="107"/>
      <c r="D246" s="31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row>
    <row r="247" spans="1:42">
      <c r="A247" s="107"/>
      <c r="B247" s="107"/>
      <c r="C247" s="107"/>
      <c r="D247" s="31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row>
    <row r="248" spans="1:42">
      <c r="A248" s="107"/>
      <c r="B248" s="107"/>
      <c r="C248" s="107"/>
      <c r="D248" s="31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row>
    <row r="249" spans="1:42">
      <c r="A249" s="107"/>
      <c r="B249" s="107"/>
      <c r="C249" s="107"/>
      <c r="D249" s="31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row>
    <row r="250" spans="1:42">
      <c r="A250" s="107"/>
      <c r="B250" s="107"/>
      <c r="C250" s="107"/>
      <c r="D250" s="31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row>
    <row r="251" spans="1:42">
      <c r="A251" s="107"/>
      <c r="B251" s="107"/>
      <c r="C251" s="107"/>
      <c r="D251" s="31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row>
    <row r="252" spans="1:42">
      <c r="A252" s="107"/>
      <c r="B252" s="107"/>
      <c r="C252" s="107"/>
      <c r="D252" s="31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row>
    <row r="253" spans="1:42">
      <c r="A253" s="107"/>
      <c r="B253" s="107"/>
      <c r="C253" s="107"/>
      <c r="D253" s="31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row>
    <row r="254" spans="1:42">
      <c r="A254" s="107"/>
      <c r="B254" s="107"/>
      <c r="C254" s="107"/>
      <c r="D254" s="31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row>
    <row r="255" spans="1:42">
      <c r="A255" s="107"/>
      <c r="B255" s="107"/>
      <c r="C255" s="107"/>
      <c r="D255" s="31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row>
    <row r="256" spans="1:42">
      <c r="A256" s="107"/>
      <c r="B256" s="107"/>
      <c r="C256" s="107"/>
      <c r="D256" s="31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row>
    <row r="257" spans="1:42">
      <c r="A257" s="107"/>
      <c r="B257" s="107"/>
      <c r="C257" s="107"/>
      <c r="D257" s="31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row>
    <row r="258" spans="1:42">
      <c r="A258" s="107"/>
      <c r="B258" s="107"/>
      <c r="C258" s="107"/>
      <c r="D258" s="31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row>
    <row r="259" spans="1:42">
      <c r="A259" s="107"/>
      <c r="B259" s="107"/>
      <c r="C259" s="107"/>
      <c r="D259" s="31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row>
    <row r="260" spans="1:42">
      <c r="A260" s="107"/>
      <c r="B260" s="107"/>
      <c r="C260" s="107"/>
      <c r="D260" s="31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row>
    <row r="261" spans="1:42">
      <c r="A261" s="107"/>
      <c r="B261" s="107"/>
      <c r="C261" s="107"/>
      <c r="D261" s="31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row>
    <row r="262" spans="1:42">
      <c r="A262" s="107"/>
      <c r="B262" s="107"/>
      <c r="C262" s="107"/>
      <c r="D262" s="31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row>
    <row r="263" spans="1:42">
      <c r="A263" s="107"/>
      <c r="B263" s="107"/>
      <c r="C263" s="107"/>
      <c r="D263" s="31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row>
    <row r="264" spans="1:42">
      <c r="A264" s="107"/>
      <c r="B264" s="107"/>
      <c r="C264" s="107"/>
      <c r="D264" s="31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row>
    <row r="265" spans="1:42">
      <c r="A265" s="107"/>
      <c r="B265" s="107"/>
      <c r="C265" s="107"/>
      <c r="D265" s="31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row>
    <row r="266" spans="1:42">
      <c r="A266" s="107"/>
      <c r="B266" s="107"/>
      <c r="C266" s="107"/>
      <c r="D266" s="31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row>
    <row r="267" spans="1:42">
      <c r="A267" s="107"/>
      <c r="B267" s="107"/>
      <c r="C267" s="107"/>
      <c r="D267" s="31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row>
    <row r="268" spans="1:42">
      <c r="A268" s="107"/>
      <c r="B268" s="107"/>
      <c r="C268" s="107"/>
      <c r="D268" s="31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row>
    <row r="269" spans="1:42">
      <c r="A269" s="107"/>
      <c r="B269" s="107"/>
      <c r="C269" s="107"/>
      <c r="D269" s="31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row>
    <row r="270" spans="1:42">
      <c r="A270" s="107"/>
      <c r="B270" s="107"/>
      <c r="C270" s="107"/>
      <c r="D270" s="31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row>
    <row r="271" spans="1:42">
      <c r="A271" s="107"/>
      <c r="B271" s="107"/>
      <c r="C271" s="107"/>
      <c r="D271" s="31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row>
    <row r="272" spans="1:42">
      <c r="A272" s="107"/>
      <c r="B272" s="107"/>
      <c r="C272" s="107"/>
      <c r="D272" s="31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row>
    <row r="273" spans="1:42">
      <c r="A273" s="107"/>
      <c r="B273" s="107"/>
      <c r="C273" s="107"/>
      <c r="D273" s="31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row>
    <row r="274" spans="1:42">
      <c r="A274" s="107"/>
      <c r="B274" s="107"/>
      <c r="C274" s="107"/>
      <c r="D274" s="31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row>
    <row r="275" spans="1:42">
      <c r="A275" s="107"/>
      <c r="B275" s="107"/>
      <c r="C275" s="107"/>
      <c r="D275" s="31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row>
    <row r="276" spans="1:42">
      <c r="A276" s="107"/>
      <c r="B276" s="107"/>
      <c r="C276" s="107"/>
      <c r="D276" s="31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row>
    <row r="277" spans="1:42">
      <c r="A277" s="107"/>
      <c r="B277" s="107"/>
      <c r="C277" s="107"/>
      <c r="D277" s="31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row>
    <row r="278" spans="1:42">
      <c r="A278" s="107"/>
      <c r="B278" s="107"/>
      <c r="C278" s="107"/>
      <c r="D278" s="31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row>
    <row r="279" spans="1:42">
      <c r="A279" s="107"/>
      <c r="B279" s="107"/>
      <c r="C279" s="107"/>
      <c r="D279" s="31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row>
    <row r="280" spans="1:42">
      <c r="A280" s="107"/>
      <c r="B280" s="107"/>
      <c r="C280" s="107"/>
      <c r="D280" s="31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row>
    <row r="281" spans="1:42">
      <c r="A281" s="107"/>
      <c r="B281" s="107"/>
      <c r="C281" s="107"/>
      <c r="D281" s="31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row>
    <row r="282" spans="1:42">
      <c r="A282" s="107"/>
      <c r="B282" s="107"/>
      <c r="C282" s="107"/>
      <c r="D282" s="31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row>
    <row r="283" spans="1:42">
      <c r="A283" s="107"/>
      <c r="B283" s="107"/>
      <c r="C283" s="107"/>
      <c r="D283" s="31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row>
    <row r="284" spans="1:42">
      <c r="A284" s="107"/>
      <c r="B284" s="107"/>
      <c r="C284" s="107"/>
      <c r="D284" s="31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row>
    <row r="285" spans="1:42">
      <c r="A285" s="107"/>
      <c r="B285" s="107"/>
      <c r="C285" s="107"/>
      <c r="D285" s="31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row>
    <row r="286" spans="1:42">
      <c r="A286" s="107"/>
      <c r="B286" s="107"/>
      <c r="C286" s="107"/>
      <c r="D286" s="31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row>
    <row r="287" spans="1:42">
      <c r="A287" s="107"/>
      <c r="B287" s="107"/>
      <c r="C287" s="107"/>
      <c r="D287" s="31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row>
    <row r="288" spans="1:42">
      <c r="A288" s="107"/>
      <c r="B288" s="107"/>
      <c r="C288" s="107"/>
      <c r="D288" s="31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row>
    <row r="289" spans="1:42">
      <c r="A289" s="107"/>
      <c r="B289" s="107"/>
      <c r="C289" s="107"/>
      <c r="D289" s="31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row>
    <row r="290" spans="1:42">
      <c r="A290" s="107"/>
      <c r="B290" s="107"/>
      <c r="C290" s="107"/>
      <c r="D290" s="31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row>
    <row r="291" spans="1:42">
      <c r="A291" s="107"/>
      <c r="B291" s="107"/>
      <c r="C291" s="107"/>
      <c r="D291" s="31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row>
    <row r="292" spans="1:42">
      <c r="A292" s="107"/>
      <c r="B292" s="107"/>
      <c r="C292" s="107"/>
      <c r="D292" s="31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row>
    <row r="293" spans="1:42">
      <c r="A293" s="107"/>
      <c r="B293" s="107"/>
      <c r="C293" s="107"/>
      <c r="D293" s="31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row>
    <row r="294" spans="1:42">
      <c r="A294" s="107"/>
      <c r="B294" s="107"/>
      <c r="C294" s="107"/>
      <c r="D294" s="31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row>
    <row r="295" spans="1:42">
      <c r="A295" s="107"/>
      <c r="B295" s="107"/>
      <c r="C295" s="107"/>
      <c r="D295" s="31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row>
    <row r="296" spans="1:42">
      <c r="A296" s="107"/>
      <c r="B296" s="107"/>
      <c r="C296" s="107"/>
      <c r="D296" s="31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row>
    <row r="297" spans="1:42">
      <c r="A297" s="107"/>
      <c r="B297" s="107"/>
      <c r="C297" s="107"/>
      <c r="D297" s="31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row>
    <row r="298" spans="1:42">
      <c r="A298" s="107"/>
      <c r="B298" s="107"/>
      <c r="C298" s="107"/>
      <c r="D298" s="31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row>
    <row r="299" spans="1:42">
      <c r="A299" s="107"/>
      <c r="B299" s="107"/>
      <c r="C299" s="107"/>
      <c r="D299" s="31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row>
    <row r="300" spans="1:42">
      <c r="A300" s="107"/>
      <c r="B300" s="107"/>
      <c r="C300" s="107"/>
      <c r="D300" s="31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row>
    <row r="301" spans="1:42">
      <c r="A301" s="107"/>
      <c r="B301" s="107"/>
      <c r="C301" s="107"/>
      <c r="D301" s="31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row>
    <row r="302" spans="1:42">
      <c r="A302" s="107"/>
      <c r="B302" s="107"/>
      <c r="C302" s="107"/>
      <c r="D302" s="31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row>
    <row r="303" spans="1:42">
      <c r="A303" s="107"/>
      <c r="B303" s="107"/>
      <c r="C303" s="107"/>
      <c r="D303" s="31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row>
    <row r="304" spans="1:42">
      <c r="A304" s="107"/>
      <c r="B304" s="107"/>
      <c r="C304" s="107"/>
      <c r="D304" s="31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row>
    <row r="305" spans="1:42">
      <c r="A305" s="107"/>
      <c r="B305" s="107"/>
      <c r="C305" s="107"/>
      <c r="D305" s="31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row>
    <row r="306" spans="1:42">
      <c r="A306" s="107"/>
      <c r="B306" s="107"/>
      <c r="C306" s="107"/>
      <c r="D306" s="31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row>
    <row r="307" spans="1:42">
      <c r="A307" s="107"/>
      <c r="B307" s="107"/>
      <c r="C307" s="107"/>
      <c r="D307" s="31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row>
    <row r="308" spans="1:42">
      <c r="A308" s="107"/>
      <c r="B308" s="107"/>
      <c r="C308" s="107"/>
      <c r="D308" s="31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row>
    <row r="309" spans="1:42">
      <c r="A309" s="107"/>
      <c r="B309" s="107"/>
      <c r="C309" s="107"/>
      <c r="D309" s="31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row>
    <row r="310" spans="1:42">
      <c r="A310" s="107"/>
      <c r="B310" s="107"/>
      <c r="C310" s="107"/>
      <c r="D310" s="31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row>
    <row r="311" spans="1:42">
      <c r="A311" s="107"/>
      <c r="B311" s="107"/>
      <c r="C311" s="107"/>
      <c r="D311" s="31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row>
    <row r="312" spans="1:42">
      <c r="A312" s="107"/>
      <c r="B312" s="107"/>
      <c r="C312" s="107"/>
      <c r="D312" s="31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row>
    <row r="313" spans="1:42">
      <c r="A313" s="107"/>
      <c r="B313" s="107"/>
      <c r="C313" s="107"/>
      <c r="D313" s="31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row>
    <row r="314" spans="1:42">
      <c r="A314" s="107"/>
      <c r="B314" s="107"/>
      <c r="C314" s="107"/>
      <c r="D314" s="31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row>
    <row r="315" spans="1:42">
      <c r="A315" s="107"/>
      <c r="B315" s="107"/>
      <c r="C315" s="107"/>
      <c r="D315" s="31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row>
    <row r="316" spans="1:42">
      <c r="A316" s="107"/>
      <c r="B316" s="107"/>
      <c r="C316" s="107"/>
      <c r="D316" s="31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row>
    <row r="317" spans="1:42">
      <c r="A317" s="107"/>
      <c r="B317" s="107"/>
      <c r="C317" s="107"/>
      <c r="D317" s="31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row>
    <row r="318" spans="1:42">
      <c r="A318" s="107"/>
      <c r="B318" s="107"/>
      <c r="C318" s="107"/>
      <c r="D318" s="31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row>
    <row r="319" spans="1:42">
      <c r="A319" s="107"/>
      <c r="B319" s="107"/>
      <c r="C319" s="107"/>
      <c r="D319" s="31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row>
    <row r="320" spans="1:42">
      <c r="A320" s="107"/>
      <c r="B320" s="107"/>
      <c r="C320" s="107"/>
      <c r="D320" s="31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row>
    <row r="321" spans="1:42">
      <c r="A321" s="107"/>
      <c r="B321" s="107"/>
      <c r="C321" s="107"/>
      <c r="D321" s="31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row>
    <row r="322" spans="1:42">
      <c r="A322" s="107"/>
      <c r="B322" s="107"/>
      <c r="C322" s="107"/>
      <c r="D322" s="31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row>
    <row r="323" spans="1:42">
      <c r="A323" s="107"/>
      <c r="B323" s="107"/>
      <c r="C323" s="107"/>
      <c r="D323" s="31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row>
    <row r="324" spans="1:42">
      <c r="A324" s="107"/>
      <c r="B324" s="107"/>
      <c r="C324" s="107"/>
      <c r="D324" s="31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row>
    <row r="325" spans="1:42">
      <c r="A325" s="107"/>
      <c r="B325" s="107"/>
      <c r="C325" s="107"/>
      <c r="D325" s="31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row>
    <row r="326" spans="1:42">
      <c r="A326" s="107"/>
      <c r="B326" s="107"/>
      <c r="C326" s="107"/>
      <c r="D326" s="31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row>
    <row r="327" spans="1:42">
      <c r="A327" s="107"/>
      <c r="B327" s="107"/>
      <c r="C327" s="107"/>
      <c r="D327" s="31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row>
    <row r="328" spans="1:42">
      <c r="A328" s="107"/>
      <c r="B328" s="107"/>
      <c r="C328" s="107"/>
      <c r="D328" s="31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row>
    <row r="329" spans="1:42">
      <c r="A329" s="107"/>
      <c r="B329" s="107"/>
      <c r="C329" s="107"/>
      <c r="D329" s="31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row>
    <row r="330" spans="1:42">
      <c r="A330" s="107"/>
      <c r="B330" s="107"/>
      <c r="C330" s="107"/>
      <c r="D330" s="31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row>
    <row r="331" spans="1:42">
      <c r="A331" s="107"/>
      <c r="B331" s="107"/>
      <c r="C331" s="107"/>
      <c r="D331" s="31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row>
    <row r="332" spans="1:42">
      <c r="A332" s="107"/>
      <c r="B332" s="107"/>
      <c r="C332" s="107"/>
      <c r="D332" s="31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row>
    <row r="333" spans="1:42">
      <c r="A333" s="107"/>
      <c r="B333" s="107"/>
      <c r="C333" s="107"/>
      <c r="D333" s="31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row>
    <row r="334" spans="1:42">
      <c r="A334" s="107"/>
      <c r="B334" s="107"/>
      <c r="C334" s="107"/>
      <c r="D334" s="31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row>
    <row r="335" spans="1:42">
      <c r="A335" s="107"/>
      <c r="B335" s="107"/>
      <c r="C335" s="107"/>
      <c r="D335" s="31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row>
    <row r="336" spans="1:42">
      <c r="A336" s="107"/>
      <c r="B336" s="107"/>
      <c r="C336" s="107"/>
      <c r="D336" s="31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row>
    <row r="337" spans="1:42">
      <c r="A337" s="107"/>
      <c r="B337" s="107"/>
      <c r="C337" s="107"/>
      <c r="D337" s="31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row>
    <row r="338" spans="1:42">
      <c r="A338" s="107"/>
      <c r="B338" s="107"/>
      <c r="C338" s="107"/>
      <c r="D338" s="31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row>
    <row r="339" spans="1:42">
      <c r="A339" s="107"/>
      <c r="B339" s="107"/>
      <c r="C339" s="107"/>
      <c r="D339" s="31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c r="AP339" s="107"/>
    </row>
    <row r="340" spans="1:42">
      <c r="A340" s="107"/>
      <c r="B340" s="107"/>
      <c r="C340" s="107"/>
      <c r="D340" s="31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row>
    <row r="341" spans="1:42">
      <c r="A341" s="107"/>
      <c r="B341" s="107"/>
      <c r="C341" s="107"/>
      <c r="D341" s="31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c r="AP341" s="107"/>
    </row>
    <row r="342" spans="1:42">
      <c r="A342" s="107"/>
      <c r="B342" s="107"/>
      <c r="C342" s="107"/>
      <c r="D342" s="31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row>
    <row r="343" spans="1:42">
      <c r="A343" s="107"/>
      <c r="B343" s="107"/>
      <c r="C343" s="107"/>
      <c r="D343" s="31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row>
    <row r="344" spans="1:42">
      <c r="A344" s="107"/>
      <c r="B344" s="107"/>
      <c r="C344" s="107"/>
      <c r="D344" s="31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c r="AP344" s="107"/>
    </row>
    <row r="345" spans="1:42">
      <c r="A345" s="107"/>
      <c r="B345" s="107"/>
      <c r="C345" s="107"/>
      <c r="D345" s="31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row>
    <row r="346" spans="1:42">
      <c r="A346" s="107"/>
      <c r="B346" s="107"/>
      <c r="C346" s="107"/>
      <c r="D346" s="31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row>
    <row r="347" spans="1:42">
      <c r="A347" s="107"/>
      <c r="B347" s="107"/>
      <c r="C347" s="107"/>
      <c r="D347" s="31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c r="AP347" s="107"/>
    </row>
    <row r="348" spans="1:42">
      <c r="A348" s="107"/>
      <c r="B348" s="107"/>
      <c r="C348" s="107"/>
      <c r="D348" s="31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row>
    <row r="349" spans="1:42">
      <c r="A349" s="107"/>
      <c r="B349" s="107"/>
      <c r="C349" s="107"/>
      <c r="D349" s="31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row>
    <row r="350" spans="1:42">
      <c r="A350" s="107"/>
      <c r="B350" s="107"/>
      <c r="C350" s="107"/>
      <c r="D350" s="31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row>
    <row r="351" spans="1:42">
      <c r="A351" s="107"/>
      <c r="B351" s="107"/>
      <c r="C351" s="107"/>
      <c r="D351" s="31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row>
    <row r="352" spans="1:42">
      <c r="A352" s="107"/>
      <c r="B352" s="107"/>
      <c r="C352" s="107"/>
      <c r="D352" s="31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row>
    <row r="353" spans="1:42">
      <c r="A353" s="107"/>
      <c r="B353" s="107"/>
      <c r="C353" s="107"/>
      <c r="D353" s="31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row>
    <row r="354" spans="1:42">
      <c r="A354" s="107"/>
      <c r="B354" s="107"/>
      <c r="C354" s="107"/>
      <c r="D354" s="31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row>
    <row r="355" spans="1:42">
      <c r="A355" s="107"/>
      <c r="B355" s="107"/>
      <c r="C355" s="107"/>
      <c r="D355" s="31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row>
    <row r="356" spans="1:42">
      <c r="A356" s="107"/>
      <c r="B356" s="107"/>
      <c r="C356" s="107"/>
      <c r="D356" s="31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row>
    <row r="357" spans="1:42">
      <c r="A357" s="107"/>
      <c r="B357" s="107"/>
      <c r="C357" s="107"/>
      <c r="D357" s="31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row>
    <row r="358" spans="1:42">
      <c r="A358" s="107"/>
      <c r="B358" s="107"/>
      <c r="C358" s="107"/>
      <c r="D358" s="31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row>
    <row r="359" spans="1:42">
      <c r="A359" s="107"/>
      <c r="B359" s="107"/>
      <c r="C359" s="107"/>
      <c r="D359" s="31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row>
    <row r="360" spans="1:42">
      <c r="A360" s="107"/>
      <c r="B360" s="107"/>
      <c r="C360" s="107"/>
      <c r="D360" s="31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row>
    <row r="361" spans="1:42">
      <c r="A361" s="107"/>
      <c r="B361" s="107"/>
      <c r="C361" s="107"/>
      <c r="D361" s="31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row>
    <row r="362" spans="1:42">
      <c r="A362" s="107"/>
      <c r="B362" s="107"/>
      <c r="C362" s="107"/>
      <c r="D362" s="31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row>
    <row r="363" spans="1:42">
      <c r="A363" s="107"/>
      <c r="B363" s="107"/>
      <c r="C363" s="107"/>
      <c r="D363" s="31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row>
    <row r="364" spans="1:42">
      <c r="A364" s="107"/>
      <c r="B364" s="107"/>
      <c r="C364" s="107"/>
      <c r="D364" s="31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row>
    <row r="365" spans="1:42">
      <c r="A365" s="107"/>
      <c r="B365" s="107"/>
      <c r="C365" s="107"/>
      <c r="D365" s="31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row>
    <row r="366" spans="1:42">
      <c r="A366" s="107"/>
      <c r="B366" s="107"/>
      <c r="C366" s="107"/>
      <c r="D366" s="31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row>
    <row r="367" spans="1:42">
      <c r="A367" s="107"/>
      <c r="B367" s="107"/>
      <c r="C367" s="107"/>
      <c r="D367" s="31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row>
    <row r="368" spans="1:42">
      <c r="A368" s="107"/>
      <c r="B368" s="107"/>
      <c r="C368" s="107"/>
      <c r="D368" s="31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row>
    <row r="369" spans="1:42">
      <c r="A369" s="107"/>
      <c r="B369" s="107"/>
      <c r="C369" s="107"/>
      <c r="D369" s="31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row>
    <row r="370" spans="1:42">
      <c r="A370" s="107"/>
      <c r="B370" s="107"/>
      <c r="C370" s="107"/>
      <c r="D370" s="31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row>
    <row r="371" spans="1:42">
      <c r="A371" s="107"/>
      <c r="B371" s="107"/>
      <c r="C371" s="107"/>
      <c r="D371" s="31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row>
    <row r="372" spans="1:42">
      <c r="A372" s="107"/>
      <c r="B372" s="107"/>
      <c r="C372" s="107"/>
      <c r="D372" s="31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row>
    <row r="373" spans="1:42">
      <c r="A373" s="107"/>
      <c r="B373" s="107"/>
      <c r="C373" s="107"/>
      <c r="D373" s="31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row>
    <row r="374" spans="1:42">
      <c r="A374" s="107"/>
      <c r="B374" s="107"/>
      <c r="C374" s="107"/>
      <c r="D374" s="31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row>
    <row r="375" spans="1:42">
      <c r="A375" s="107"/>
      <c r="B375" s="107"/>
      <c r="C375" s="107"/>
      <c r="D375" s="31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row>
    <row r="376" spans="1:42">
      <c r="A376" s="107"/>
      <c r="B376" s="107"/>
      <c r="C376" s="107"/>
      <c r="D376" s="31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row>
    <row r="377" spans="1:42">
      <c r="A377" s="107"/>
      <c r="B377" s="107"/>
      <c r="C377" s="107"/>
      <c r="D377" s="31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row>
    <row r="378" spans="1:42">
      <c r="A378" s="107"/>
      <c r="B378" s="107"/>
      <c r="C378" s="107"/>
      <c r="D378" s="31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row>
    <row r="379" spans="1:42">
      <c r="A379" s="107"/>
      <c r="B379" s="107"/>
      <c r="C379" s="107"/>
      <c r="D379" s="31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row>
    <row r="380" spans="1:42">
      <c r="A380" s="107"/>
      <c r="B380" s="107"/>
      <c r="C380" s="107"/>
      <c r="D380" s="31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row>
    <row r="381" spans="1:42">
      <c r="A381" s="107"/>
      <c r="B381" s="107"/>
      <c r="C381" s="107"/>
      <c r="D381" s="31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row>
    <row r="382" spans="1:42">
      <c r="A382" s="107"/>
      <c r="B382" s="107"/>
      <c r="C382" s="107"/>
      <c r="D382" s="31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row>
    <row r="383" spans="1:42">
      <c r="A383" s="107"/>
      <c r="B383" s="107"/>
      <c r="C383" s="107"/>
      <c r="D383" s="31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row>
    <row r="384" spans="1:42">
      <c r="A384" s="107"/>
      <c r="B384" s="107"/>
      <c r="C384" s="107"/>
      <c r="D384" s="31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row>
    <row r="385" spans="1:42">
      <c r="A385" s="107"/>
      <c r="B385" s="107"/>
      <c r="C385" s="107"/>
      <c r="D385" s="31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c r="AP385" s="107"/>
    </row>
    <row r="386" spans="1:42">
      <c r="A386" s="107"/>
      <c r="B386" s="107"/>
      <c r="C386" s="107"/>
      <c r="D386" s="31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row>
    <row r="387" spans="1:42">
      <c r="A387" s="107"/>
      <c r="B387" s="107"/>
      <c r="C387" s="107"/>
      <c r="D387" s="31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row>
    <row r="388" spans="1:42">
      <c r="A388" s="107"/>
      <c r="B388" s="107"/>
      <c r="C388" s="107"/>
      <c r="D388" s="31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row>
    <row r="389" spans="1:42">
      <c r="A389" s="107"/>
      <c r="B389" s="107"/>
      <c r="C389" s="107"/>
      <c r="D389" s="31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row>
    <row r="390" spans="1:42">
      <c r="A390" s="107"/>
      <c r="B390" s="107"/>
      <c r="C390" s="107"/>
      <c r="D390" s="31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row>
    <row r="391" spans="1:42">
      <c r="A391" s="107"/>
      <c r="B391" s="107"/>
      <c r="C391" s="107"/>
      <c r="D391" s="31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row>
    <row r="392" spans="1:42">
      <c r="A392" s="107"/>
      <c r="B392" s="107"/>
      <c r="C392" s="107"/>
      <c r="D392" s="31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row>
    <row r="393" spans="1:42">
      <c r="A393" s="107"/>
      <c r="B393" s="107"/>
      <c r="C393" s="107"/>
      <c r="D393" s="31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row>
    <row r="394" spans="1:42">
      <c r="A394" s="107"/>
      <c r="B394" s="107"/>
      <c r="C394" s="107"/>
      <c r="D394" s="31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row>
    <row r="395" spans="1:42">
      <c r="A395" s="107"/>
      <c r="B395" s="107"/>
      <c r="C395" s="107"/>
      <c r="D395" s="31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row>
    <row r="396" spans="1:42">
      <c r="A396" s="107"/>
      <c r="B396" s="107"/>
      <c r="C396" s="107"/>
      <c r="D396" s="31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row>
    <row r="397" spans="1:42">
      <c r="A397" s="107"/>
      <c r="B397" s="107"/>
      <c r="C397" s="107"/>
      <c r="D397" s="31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row>
    <row r="398" spans="1:42">
      <c r="A398" s="107"/>
      <c r="B398" s="107"/>
      <c r="C398" s="107"/>
      <c r="D398" s="31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row>
    <row r="399" spans="1:42">
      <c r="A399" s="107"/>
      <c r="B399" s="107"/>
      <c r="C399" s="107"/>
      <c r="D399" s="31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c r="AP399" s="107"/>
    </row>
    <row r="400" spans="1:42">
      <c r="A400" s="107"/>
      <c r="B400" s="107"/>
      <c r="C400" s="107"/>
      <c r="D400" s="31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row>
    <row r="401" spans="1:42">
      <c r="A401" s="107"/>
      <c r="B401" s="107"/>
      <c r="C401" s="107"/>
      <c r="D401" s="31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c r="AP401" s="107"/>
    </row>
    <row r="402" spans="1:42">
      <c r="A402" s="107"/>
      <c r="B402" s="107"/>
      <c r="C402" s="107"/>
      <c r="D402" s="31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c r="AP402" s="107"/>
    </row>
    <row r="403" spans="1:42">
      <c r="A403" s="107"/>
      <c r="B403" s="107"/>
      <c r="C403" s="107"/>
      <c r="D403" s="31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c r="AP403" s="107"/>
    </row>
    <row r="404" spans="1:42">
      <c r="A404" s="107"/>
      <c r="B404" s="107"/>
      <c r="C404" s="107"/>
      <c r="D404" s="31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c r="AP404" s="107"/>
    </row>
    <row r="405" spans="1:42">
      <c r="A405" s="107"/>
      <c r="B405" s="107"/>
      <c r="C405" s="107"/>
      <c r="D405" s="31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c r="AP405" s="107"/>
    </row>
    <row r="406" spans="1:42">
      <c r="A406" s="107"/>
      <c r="B406" s="107"/>
      <c r="C406" s="107"/>
      <c r="D406" s="31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c r="AP406" s="107"/>
    </row>
    <row r="407" spans="1:42">
      <c r="A407" s="107"/>
      <c r="B407" s="107"/>
      <c r="C407" s="107"/>
      <c r="D407" s="31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row>
    <row r="408" spans="1:42">
      <c r="A408" s="107"/>
      <c r="B408" s="107"/>
      <c r="C408" s="107"/>
      <c r="D408" s="31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row>
    <row r="409" spans="1:42">
      <c r="A409" s="107"/>
      <c r="B409" s="107"/>
      <c r="C409" s="107"/>
      <c r="D409" s="31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row>
    <row r="410" spans="1:42">
      <c r="A410" s="107"/>
      <c r="B410" s="107"/>
      <c r="C410" s="107"/>
      <c r="D410" s="31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row>
    <row r="411" spans="1:42">
      <c r="A411" s="107"/>
      <c r="B411" s="107"/>
      <c r="C411" s="107"/>
      <c r="D411" s="31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c r="AP411" s="107"/>
    </row>
    <row r="412" spans="1:42">
      <c r="A412" s="107"/>
      <c r="B412" s="107"/>
      <c r="C412" s="107"/>
      <c r="D412" s="31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row>
    <row r="413" spans="1:42">
      <c r="A413" s="107"/>
      <c r="B413" s="107"/>
      <c r="C413" s="107"/>
      <c r="D413" s="31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row>
    <row r="414" spans="1:42">
      <c r="A414" s="107"/>
      <c r="B414" s="107"/>
      <c r="C414" s="107"/>
      <c r="D414" s="31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c r="AP414" s="107"/>
    </row>
    <row r="415" spans="1:42">
      <c r="A415" s="107"/>
      <c r="B415" s="107"/>
      <c r="C415" s="107"/>
      <c r="D415" s="31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c r="AP415" s="107"/>
    </row>
    <row r="416" spans="1:42">
      <c r="A416" s="107"/>
      <c r="B416" s="107"/>
      <c r="C416" s="107"/>
      <c r="D416" s="31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c r="AP416" s="107"/>
    </row>
    <row r="417" spans="1:42">
      <c r="A417" s="107"/>
      <c r="B417" s="107"/>
      <c r="C417" s="107"/>
      <c r="D417" s="31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c r="AP417" s="107"/>
    </row>
    <row r="418" spans="1:42">
      <c r="A418" s="107"/>
      <c r="B418" s="107"/>
      <c r="C418" s="107"/>
      <c r="D418" s="31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c r="AP418" s="107"/>
    </row>
    <row r="419" spans="1:42">
      <c r="A419" s="107"/>
      <c r="B419" s="107"/>
      <c r="C419" s="107"/>
      <c r="D419" s="31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c r="AP419" s="107"/>
    </row>
    <row r="420" spans="1:42">
      <c r="A420" s="107"/>
      <c r="B420" s="107"/>
      <c r="C420" s="107"/>
      <c r="D420" s="31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c r="AP420" s="107"/>
    </row>
    <row r="421" spans="1:42">
      <c r="A421" s="107"/>
      <c r="B421" s="107"/>
      <c r="C421" s="107"/>
      <c r="D421" s="31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row>
    <row r="422" spans="1:42">
      <c r="A422" s="107"/>
      <c r="B422" s="107"/>
      <c r="C422" s="107"/>
      <c r="D422" s="31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row>
    <row r="423" spans="1:42">
      <c r="A423" s="107"/>
      <c r="B423" s="107"/>
      <c r="C423" s="107"/>
      <c r="D423" s="31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row>
    <row r="424" spans="1:42">
      <c r="A424" s="107"/>
      <c r="B424" s="107"/>
      <c r="C424" s="107"/>
      <c r="D424" s="31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row>
    <row r="425" spans="1:42">
      <c r="A425" s="107"/>
      <c r="B425" s="107"/>
      <c r="C425" s="107"/>
      <c r="D425" s="31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c r="AP425" s="107"/>
    </row>
    <row r="426" spans="1:42">
      <c r="A426" s="107"/>
      <c r="B426" s="107"/>
      <c r="C426" s="107"/>
      <c r="D426" s="31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c r="AP426" s="107"/>
    </row>
    <row r="427" spans="1:42">
      <c r="A427" s="107"/>
      <c r="B427" s="107"/>
      <c r="C427" s="107"/>
      <c r="D427" s="31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row>
    <row r="428" spans="1:42">
      <c r="A428" s="107"/>
      <c r="B428" s="107"/>
      <c r="C428" s="107"/>
      <c r="D428" s="31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row>
    <row r="429" spans="1:42">
      <c r="A429" s="107"/>
      <c r="B429" s="107"/>
      <c r="C429" s="107"/>
      <c r="D429" s="31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row>
    <row r="430" spans="1:42">
      <c r="A430" s="107"/>
      <c r="B430" s="107"/>
      <c r="C430" s="107"/>
      <c r="D430" s="31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row>
    <row r="431" spans="1:42">
      <c r="A431" s="107"/>
      <c r="B431" s="107"/>
      <c r="C431" s="107"/>
      <c r="D431" s="31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c r="AP431" s="107"/>
    </row>
    <row r="432" spans="1:42">
      <c r="A432" s="107"/>
      <c r="B432" s="107"/>
      <c r="C432" s="107"/>
      <c r="D432" s="31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c r="AP432" s="107"/>
    </row>
    <row r="433" spans="1:42">
      <c r="A433" s="107"/>
      <c r="B433" s="107"/>
      <c r="C433" s="107"/>
      <c r="D433" s="31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c r="AP433" s="107"/>
    </row>
    <row r="434" spans="1:42">
      <c r="A434" s="107"/>
      <c r="B434" s="107"/>
      <c r="C434" s="107"/>
      <c r="D434" s="31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c r="AP434" s="107"/>
    </row>
    <row r="435" spans="1:42">
      <c r="A435" s="107"/>
      <c r="B435" s="107"/>
      <c r="C435" s="107"/>
      <c r="D435" s="31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c r="AP435" s="107"/>
    </row>
    <row r="436" spans="1:42">
      <c r="A436" s="107"/>
      <c r="B436" s="107"/>
      <c r="C436" s="107"/>
      <c r="D436" s="31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c r="AP436" s="107"/>
    </row>
    <row r="437" spans="1:42">
      <c r="A437" s="107"/>
      <c r="B437" s="107"/>
      <c r="C437" s="107"/>
      <c r="D437" s="31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c r="AP437" s="107"/>
    </row>
    <row r="438" spans="1:42">
      <c r="A438" s="107"/>
      <c r="B438" s="107"/>
      <c r="C438" s="107"/>
      <c r="D438" s="31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c r="AP438" s="107"/>
    </row>
    <row r="439" spans="1:42">
      <c r="A439" s="107"/>
      <c r="B439" s="107"/>
      <c r="C439" s="107"/>
      <c r="D439" s="31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c r="AP439" s="107"/>
    </row>
    <row r="440" spans="1:42">
      <c r="A440" s="107"/>
      <c r="B440" s="107"/>
      <c r="C440" s="107"/>
      <c r="D440" s="31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c r="AP440" s="107"/>
    </row>
    <row r="441" spans="1:42">
      <c r="A441" s="107"/>
      <c r="B441" s="107"/>
      <c r="C441" s="107"/>
      <c r="D441" s="31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c r="AP441" s="107"/>
    </row>
    <row r="442" spans="1:42">
      <c r="A442" s="107"/>
      <c r="B442" s="107"/>
      <c r="C442" s="107"/>
      <c r="D442" s="31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c r="AP442" s="107"/>
    </row>
    <row r="443" spans="1:42">
      <c r="A443" s="107"/>
      <c r="B443" s="107"/>
      <c r="C443" s="107"/>
      <c r="D443" s="31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107"/>
    </row>
    <row r="444" spans="1:42">
      <c r="A444" s="107"/>
      <c r="B444" s="107"/>
      <c r="C444" s="107"/>
      <c r="D444" s="31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c r="AP444" s="107"/>
    </row>
  </sheetData>
  <hyperlinks>
    <hyperlink ref="A2" location="'START PAGE'!A1" display="Back to start page" xr:uid="{00000000-0004-0000-0200-000000000000}"/>
  </hyperlinks>
  <pageMargins left="0.70866141732283472" right="0.70866141732283472" top="0.74803149606299213" bottom="0.74803149606299213" header="0.31496062992125984" footer="0.31496062992125984"/>
  <pageSetup paperSize="8" scale="7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D00"/>
    <pageSetUpPr fitToPage="1"/>
  </sheetPr>
  <dimension ref="A1:AU29"/>
  <sheetViews>
    <sheetView showGridLines="0" zoomScale="90" zoomScaleNormal="90" workbookViewId="0">
      <pane xSplit="1" ySplit="3" topLeftCell="B4" activePane="bottomRight" state="frozen"/>
      <selection activeCell="H39" sqref="H39"/>
      <selection pane="topRight" activeCell="H39" sqref="H39"/>
      <selection pane="bottomLeft" activeCell="H39" sqref="H39"/>
      <selection pane="bottomRight" activeCell="A2" sqref="A2"/>
    </sheetView>
  </sheetViews>
  <sheetFormatPr defaultColWidth="9" defaultRowHeight="10"/>
  <cols>
    <col min="1" max="1" width="32.08203125" style="42" bestFit="1" customWidth="1"/>
    <col min="2" max="11" width="7.58203125" style="42" bestFit="1" customWidth="1"/>
    <col min="12" max="12" width="7.08203125" style="42" customWidth="1"/>
    <col min="13" max="13" width="8.5" style="42" customWidth="1"/>
    <col min="14" max="14" width="6.08203125" style="42" customWidth="1"/>
    <col min="15" max="18" width="6.5" style="42" customWidth="1"/>
    <col min="19" max="19" width="6.08203125" style="42" customWidth="1"/>
    <col min="20" max="22" width="6.5" style="42" customWidth="1"/>
    <col min="23" max="23" width="6.08203125" style="42" customWidth="1"/>
    <col min="24" max="36" width="6.5" style="42" customWidth="1"/>
    <col min="37" max="46" width="6.5" style="42" bestFit="1" customWidth="1"/>
    <col min="47" max="16384" width="9" style="42"/>
  </cols>
  <sheetData>
    <row r="1" spans="1:47" ht="16" thickBot="1">
      <c r="A1" s="59" t="s">
        <v>185</v>
      </c>
      <c r="B1" s="69" t="s">
        <v>222</v>
      </c>
      <c r="C1" s="50"/>
      <c r="D1" s="50"/>
      <c r="E1" s="50"/>
      <c r="F1" s="50"/>
      <c r="G1" s="50"/>
      <c r="H1" s="50"/>
      <c r="I1" s="50"/>
      <c r="J1" s="50"/>
      <c r="K1" s="50"/>
      <c r="M1" s="69" t="s">
        <v>221</v>
      </c>
      <c r="N1" s="50"/>
      <c r="O1" s="50"/>
      <c r="P1" s="70"/>
      <c r="Q1" s="50"/>
      <c r="R1" s="50"/>
      <c r="S1" s="50"/>
      <c r="T1" s="92"/>
      <c r="U1" s="69"/>
      <c r="V1" s="69"/>
      <c r="W1" s="50"/>
      <c r="X1" s="70"/>
      <c r="Y1" s="50"/>
      <c r="Z1" s="50"/>
      <c r="AA1" s="50"/>
      <c r="AB1" s="70"/>
      <c r="AC1" s="50"/>
      <c r="AD1" s="50"/>
      <c r="AE1" s="50"/>
      <c r="AF1" s="70"/>
      <c r="AG1" s="50"/>
      <c r="AH1" s="50"/>
      <c r="AI1" s="50"/>
      <c r="AJ1" s="70"/>
      <c r="AK1" s="50"/>
      <c r="AL1" s="50"/>
      <c r="AM1" s="50"/>
      <c r="AN1" s="70"/>
      <c r="AO1" s="50"/>
      <c r="AP1" s="50"/>
      <c r="AQ1" s="50"/>
      <c r="AR1" s="70"/>
      <c r="AS1" s="50"/>
      <c r="AT1" s="50"/>
    </row>
    <row r="2" spans="1:47" ht="11" thickTop="1" thickBot="1">
      <c r="A2" s="823" t="s">
        <v>198</v>
      </c>
      <c r="P2" s="71"/>
      <c r="T2" s="71"/>
      <c r="X2" s="71"/>
      <c r="AB2" s="71"/>
      <c r="AF2" s="71"/>
      <c r="AJ2" s="71"/>
      <c r="AN2" s="71"/>
      <c r="AR2" s="71"/>
    </row>
    <row r="3" spans="1:47" ht="11" thickTop="1">
      <c r="A3" s="2" t="s">
        <v>207</v>
      </c>
      <c r="B3" s="3">
        <v>2015</v>
      </c>
      <c r="C3" s="3">
        <v>2016</v>
      </c>
      <c r="D3" s="3">
        <v>2017</v>
      </c>
      <c r="E3" s="3">
        <v>2018</v>
      </c>
      <c r="F3" s="3" t="s">
        <v>211</v>
      </c>
      <c r="G3" s="3" t="s">
        <v>258</v>
      </c>
      <c r="H3" s="3">
        <v>2021</v>
      </c>
      <c r="I3" s="3">
        <v>2022</v>
      </c>
      <c r="J3" s="3">
        <v>2023</v>
      </c>
      <c r="K3" s="3">
        <v>2024</v>
      </c>
      <c r="M3" s="3" t="s">
        <v>769</v>
      </c>
      <c r="N3" s="3" t="s">
        <v>770</v>
      </c>
      <c r="O3" s="3" t="s">
        <v>771</v>
      </c>
      <c r="P3" s="72" t="s">
        <v>772</v>
      </c>
      <c r="Q3" s="324" t="s">
        <v>764</v>
      </c>
      <c r="R3" s="324" t="s">
        <v>765</v>
      </c>
      <c r="S3" s="324" t="s">
        <v>766</v>
      </c>
      <c r="T3" s="586" t="s">
        <v>767</v>
      </c>
      <c r="U3" s="324" t="s">
        <v>768</v>
      </c>
      <c r="V3" s="324" t="s">
        <v>730</v>
      </c>
      <c r="W3" s="324" t="s">
        <v>731</v>
      </c>
      <c r="X3" s="586" t="s">
        <v>732</v>
      </c>
      <c r="Y3" s="324" t="s">
        <v>733</v>
      </c>
      <c r="Z3" s="324" t="s">
        <v>626</v>
      </c>
      <c r="AA3" s="324" t="s">
        <v>620</v>
      </c>
      <c r="AB3" s="586" t="s">
        <v>619</v>
      </c>
      <c r="AC3" s="324" t="s">
        <v>614</v>
      </c>
      <c r="AD3" s="324" t="s">
        <v>604</v>
      </c>
      <c r="AE3" s="324" t="s">
        <v>589</v>
      </c>
      <c r="AF3" s="586" t="s">
        <v>587</v>
      </c>
      <c r="AG3" s="324" t="s">
        <v>504</v>
      </c>
      <c r="AH3" s="324" t="s">
        <v>551</v>
      </c>
      <c r="AI3" s="324" t="s">
        <v>532</v>
      </c>
      <c r="AJ3" s="586" t="s">
        <v>530</v>
      </c>
      <c r="AK3" s="324" t="s">
        <v>803</v>
      </c>
      <c r="AL3" s="324" t="s">
        <v>812</v>
      </c>
      <c r="AM3" s="324" t="s">
        <v>816</v>
      </c>
      <c r="AN3" s="586" t="s">
        <v>835</v>
      </c>
      <c r="AO3" s="324" t="s">
        <v>872</v>
      </c>
      <c r="AP3" s="324" t="s">
        <v>986</v>
      </c>
      <c r="AQ3" s="324" t="s">
        <v>1016</v>
      </c>
      <c r="AR3" s="586" t="s">
        <v>1039</v>
      </c>
      <c r="AS3" s="324" t="s">
        <v>1076</v>
      </c>
      <c r="AT3" s="324" t="s">
        <v>1285</v>
      </c>
    </row>
    <row r="4" spans="1:47" ht="10.5">
      <c r="A4" s="7" t="s">
        <v>0</v>
      </c>
      <c r="B4" s="5">
        <v>28663</v>
      </c>
      <c r="C4" s="5">
        <v>27102</v>
      </c>
      <c r="D4" s="5">
        <v>31364</v>
      </c>
      <c r="E4" s="5">
        <v>38285</v>
      </c>
      <c r="F4" s="5">
        <v>40849</v>
      </c>
      <c r="G4" s="5">
        <v>36122</v>
      </c>
      <c r="H4" s="5">
        <v>39645</v>
      </c>
      <c r="I4" s="5">
        <v>49694</v>
      </c>
      <c r="J4" s="5">
        <v>60343</v>
      </c>
      <c r="K4" s="5">
        <v>63604</v>
      </c>
      <c r="M4" s="5">
        <v>7411</v>
      </c>
      <c r="N4" s="5">
        <v>7879</v>
      </c>
      <c r="O4" s="5">
        <v>7610</v>
      </c>
      <c r="P4" s="73">
        <v>8464</v>
      </c>
      <c r="Q4" s="5">
        <v>8233</v>
      </c>
      <c r="R4" s="5">
        <v>9843</v>
      </c>
      <c r="S4" s="5">
        <v>9651</v>
      </c>
      <c r="T4" s="73">
        <v>10558</v>
      </c>
      <c r="U4" s="5">
        <v>9785</v>
      </c>
      <c r="V4" s="5">
        <v>10626</v>
      </c>
      <c r="W4" s="5">
        <v>10158</v>
      </c>
      <c r="X4" s="73">
        <v>10280</v>
      </c>
      <c r="Y4" s="5">
        <v>9134</v>
      </c>
      <c r="Z4" s="5">
        <v>8458</v>
      </c>
      <c r="AA4" s="5">
        <v>8724</v>
      </c>
      <c r="AB4" s="73">
        <v>9806</v>
      </c>
      <c r="AC4" s="5">
        <v>8773</v>
      </c>
      <c r="AD4" s="5">
        <v>9733</v>
      </c>
      <c r="AE4" s="5">
        <v>9966</v>
      </c>
      <c r="AF4" s="73">
        <v>11173</v>
      </c>
      <c r="AG4" s="5">
        <v>11088</v>
      </c>
      <c r="AH4" s="5">
        <v>11868</v>
      </c>
      <c r="AI4" s="5">
        <v>12802</v>
      </c>
      <c r="AJ4" s="73">
        <v>13936</v>
      </c>
      <c r="AK4" s="5">
        <v>13868</v>
      </c>
      <c r="AL4" s="5">
        <v>15910</v>
      </c>
      <c r="AM4" s="5">
        <v>14997</v>
      </c>
      <c r="AN4" s="73">
        <v>15568</v>
      </c>
      <c r="AO4" s="5">
        <v>14143</v>
      </c>
      <c r="AP4" s="5">
        <v>16511</v>
      </c>
      <c r="AQ4" s="5">
        <v>15699</v>
      </c>
      <c r="AR4" s="73">
        <v>17251</v>
      </c>
      <c r="AS4" s="5">
        <v>15536</v>
      </c>
      <c r="AT4" s="5">
        <v>15130</v>
      </c>
    </row>
    <row r="5" spans="1:47">
      <c r="A5" s="4" t="s">
        <v>1</v>
      </c>
      <c r="B5" s="5">
        <v>-18463</v>
      </c>
      <c r="C5" s="5">
        <v>-18003</v>
      </c>
      <c r="D5" s="5">
        <v>-20101</v>
      </c>
      <c r="E5" s="5">
        <v>-24317</v>
      </c>
      <c r="F5" s="5">
        <v>-25547</v>
      </c>
      <c r="G5" s="5">
        <v>-22418</v>
      </c>
      <c r="H5" s="5">
        <v>-24192</v>
      </c>
      <c r="I5" s="5">
        <v>-30675</v>
      </c>
      <c r="J5" s="5">
        <v>-37197</v>
      </c>
      <c r="K5" s="5">
        <v>-40658</v>
      </c>
      <c r="M5" s="5">
        <v>-4674</v>
      </c>
      <c r="N5" s="5">
        <v>-4990</v>
      </c>
      <c r="O5" s="5">
        <v>-4874</v>
      </c>
      <c r="P5" s="73">
        <v>-5563</v>
      </c>
      <c r="Q5" s="5">
        <v>-5226</v>
      </c>
      <c r="R5" s="5">
        <v>-6275</v>
      </c>
      <c r="S5" s="5">
        <v>-6095</v>
      </c>
      <c r="T5" s="73">
        <v>-6721</v>
      </c>
      <c r="U5" s="5">
        <v>-6189</v>
      </c>
      <c r="V5" s="5">
        <v>-6550</v>
      </c>
      <c r="W5" s="5">
        <v>-6431</v>
      </c>
      <c r="X5" s="73">
        <v>-6377</v>
      </c>
      <c r="Y5" s="5">
        <v>-5571</v>
      </c>
      <c r="Z5" s="5">
        <v>-5309</v>
      </c>
      <c r="AA5" s="5">
        <v>-5469</v>
      </c>
      <c r="AB5" s="73">
        <v>-6069</v>
      </c>
      <c r="AC5" s="5">
        <v>-5433</v>
      </c>
      <c r="AD5" s="5">
        <v>-5898</v>
      </c>
      <c r="AE5" s="5">
        <v>-5999</v>
      </c>
      <c r="AF5" s="73">
        <v>-6862</v>
      </c>
      <c r="AG5" s="5">
        <v>-6831</v>
      </c>
      <c r="AH5" s="5">
        <v>-7813</v>
      </c>
      <c r="AI5" s="5">
        <v>-7889</v>
      </c>
      <c r="AJ5" s="73">
        <v>-8142</v>
      </c>
      <c r="AK5" s="5">
        <v>-8272</v>
      </c>
      <c r="AL5" s="5">
        <v>-9887</v>
      </c>
      <c r="AM5" s="5">
        <v>-9218</v>
      </c>
      <c r="AN5" s="73">
        <v>-9820</v>
      </c>
      <c r="AO5" s="5">
        <v>-8961</v>
      </c>
      <c r="AP5" s="5">
        <v>-10562</v>
      </c>
      <c r="AQ5" s="5">
        <v>-9874</v>
      </c>
      <c r="AR5" s="73">
        <v>-11261</v>
      </c>
      <c r="AS5" s="5">
        <v>-9396</v>
      </c>
      <c r="AT5" s="5">
        <v>-9459</v>
      </c>
    </row>
    <row r="6" spans="1:47" ht="10.5">
      <c r="A6" s="6" t="s">
        <v>2</v>
      </c>
      <c r="B6" s="10">
        <v>10200</v>
      </c>
      <c r="C6" s="10">
        <v>9099</v>
      </c>
      <c r="D6" s="10">
        <v>11263</v>
      </c>
      <c r="E6" s="10">
        <v>13968</v>
      </c>
      <c r="F6" s="10">
        <v>15302</v>
      </c>
      <c r="G6" s="10">
        <v>13704</v>
      </c>
      <c r="H6" s="10">
        <v>15453</v>
      </c>
      <c r="I6" s="10">
        <v>19019</v>
      </c>
      <c r="J6" s="10">
        <v>23146</v>
      </c>
      <c r="K6" s="10">
        <v>22946</v>
      </c>
      <c r="M6" s="10">
        <v>2737</v>
      </c>
      <c r="N6" s="10">
        <v>2889</v>
      </c>
      <c r="O6" s="10">
        <v>2736</v>
      </c>
      <c r="P6" s="74">
        <v>2901</v>
      </c>
      <c r="Q6" s="10">
        <v>3007</v>
      </c>
      <c r="R6" s="10">
        <v>3568</v>
      </c>
      <c r="S6" s="10">
        <v>3556</v>
      </c>
      <c r="T6" s="74">
        <v>3837</v>
      </c>
      <c r="U6" s="10">
        <v>3596</v>
      </c>
      <c r="V6" s="10">
        <v>4076</v>
      </c>
      <c r="W6" s="10">
        <v>3727</v>
      </c>
      <c r="X6" s="74">
        <v>3903</v>
      </c>
      <c r="Y6" s="10">
        <v>3563</v>
      </c>
      <c r="Z6" s="10">
        <v>3149</v>
      </c>
      <c r="AA6" s="10">
        <v>3255</v>
      </c>
      <c r="AB6" s="74">
        <v>3737</v>
      </c>
      <c r="AC6" s="10">
        <v>3340</v>
      </c>
      <c r="AD6" s="10">
        <v>3835</v>
      </c>
      <c r="AE6" s="10">
        <v>3967</v>
      </c>
      <c r="AF6" s="74">
        <v>4311</v>
      </c>
      <c r="AG6" s="10">
        <v>4257</v>
      </c>
      <c r="AH6" s="10">
        <v>4055</v>
      </c>
      <c r="AI6" s="10">
        <v>4913</v>
      </c>
      <c r="AJ6" s="74">
        <v>5794</v>
      </c>
      <c r="AK6" s="10">
        <v>5596</v>
      </c>
      <c r="AL6" s="10">
        <v>6023</v>
      </c>
      <c r="AM6" s="10">
        <v>5779</v>
      </c>
      <c r="AN6" s="74">
        <v>5748</v>
      </c>
      <c r="AO6" s="10">
        <v>5182</v>
      </c>
      <c r="AP6" s="10">
        <v>5949</v>
      </c>
      <c r="AQ6" s="10">
        <v>5825</v>
      </c>
      <c r="AR6" s="74">
        <v>5990</v>
      </c>
      <c r="AS6" s="10">
        <v>6140</v>
      </c>
      <c r="AT6" s="10">
        <v>5671</v>
      </c>
    </row>
    <row r="7" spans="1:47" s="54" customFormat="1">
      <c r="A7" s="11" t="s">
        <v>414</v>
      </c>
      <c r="B7" s="12">
        <v>0.35599999999999998</v>
      </c>
      <c r="C7" s="12">
        <v>0.33600000000000002</v>
      </c>
      <c r="D7" s="12">
        <v>0.35899999999999999</v>
      </c>
      <c r="E7" s="12">
        <v>0.36499999999999999</v>
      </c>
      <c r="F7" s="12">
        <v>0.375</v>
      </c>
      <c r="G7" s="12">
        <v>0.379</v>
      </c>
      <c r="H7" s="12">
        <v>0.39</v>
      </c>
      <c r="I7" s="12">
        <v>0.38300000000000001</v>
      </c>
      <c r="J7" s="12">
        <v>0.38400000000000001</v>
      </c>
      <c r="K7" s="12">
        <v>0.36099999999999999</v>
      </c>
      <c r="M7" s="12">
        <v>0.36931588179732827</v>
      </c>
      <c r="N7" s="12">
        <v>0.3666708973219952</v>
      </c>
      <c r="O7" s="12">
        <v>0.35952693823915899</v>
      </c>
      <c r="P7" s="76">
        <v>0.34274574669187147</v>
      </c>
      <c r="Q7" s="12">
        <v>0.3652374590064375</v>
      </c>
      <c r="R7" s="12">
        <v>0.36249111043381083</v>
      </c>
      <c r="S7" s="12">
        <v>0.36845922702310641</v>
      </c>
      <c r="T7" s="76">
        <v>0.36342110248153059</v>
      </c>
      <c r="U7" s="12">
        <v>0.36750127746550842</v>
      </c>
      <c r="V7" s="12">
        <v>0.38358742706568794</v>
      </c>
      <c r="W7" s="12">
        <v>0.36690293364835597</v>
      </c>
      <c r="X7" s="76">
        <v>0.37966926070038909</v>
      </c>
      <c r="Y7" s="12">
        <v>0.39008101598423472</v>
      </c>
      <c r="Z7" s="12">
        <v>0.36931588179732827</v>
      </c>
      <c r="AA7" s="12">
        <v>0.37310866574965612</v>
      </c>
      <c r="AB7" s="76">
        <v>0.38109320823985315</v>
      </c>
      <c r="AC7" s="12">
        <v>0.38071355294654052</v>
      </c>
      <c r="AD7" s="12">
        <v>0.39402034316243706</v>
      </c>
      <c r="AE7" s="12">
        <v>0.39805338149709013</v>
      </c>
      <c r="AF7" s="76">
        <v>0.38600000000000001</v>
      </c>
      <c r="AG7" s="12">
        <v>0.38392857142857145</v>
      </c>
      <c r="AH7" s="12">
        <v>0.34167509268621504</v>
      </c>
      <c r="AI7" s="12">
        <v>0.38376816122480861</v>
      </c>
      <c r="AJ7" s="76">
        <v>0.41599999999999998</v>
      </c>
      <c r="AK7" s="12">
        <f>+AK6/AK4</f>
        <v>0.40351889241419092</v>
      </c>
      <c r="AL7" s="12">
        <f>+AL6/AL4</f>
        <v>0.37856693903205529</v>
      </c>
      <c r="AM7" s="12">
        <v>0.38534373541374944</v>
      </c>
      <c r="AN7" s="76">
        <v>0.36921891058581707</v>
      </c>
      <c r="AO7" s="12">
        <v>0.3664003393905112</v>
      </c>
      <c r="AP7" s="12">
        <v>0.36030525104475802</v>
      </c>
      <c r="AQ7" s="12">
        <v>0.37104274157589656</v>
      </c>
      <c r="AR7" s="76">
        <v>0.34722624775375338</v>
      </c>
      <c r="AS7" s="986" t="s">
        <v>1265</v>
      </c>
      <c r="AT7" s="12">
        <v>0.37481824190350299</v>
      </c>
    </row>
    <row r="8" spans="1:47">
      <c r="A8" s="4" t="s">
        <v>4</v>
      </c>
      <c r="B8" s="5">
        <v>-1848</v>
      </c>
      <c r="C8" s="5">
        <v>-1879</v>
      </c>
      <c r="D8" s="5">
        <v>-2121</v>
      </c>
      <c r="E8" s="5">
        <v>-2589</v>
      </c>
      <c r="F8" s="5">
        <v>-3261</v>
      </c>
      <c r="G8" s="5">
        <v>-2817</v>
      </c>
      <c r="H8" s="5">
        <v>-3166</v>
      </c>
      <c r="I8" s="5">
        <v>-3628</v>
      </c>
      <c r="J8" s="5">
        <v>-4105</v>
      </c>
      <c r="K8" s="5">
        <v>-4531</v>
      </c>
      <c r="M8" s="5">
        <v>-533</v>
      </c>
      <c r="N8" s="5">
        <v>-550</v>
      </c>
      <c r="O8" s="5">
        <v>-469</v>
      </c>
      <c r="P8" s="73">
        <v>-569</v>
      </c>
      <c r="Q8" s="5">
        <v>-564</v>
      </c>
      <c r="R8" s="5">
        <v>-713</v>
      </c>
      <c r="S8" s="5">
        <v>-691</v>
      </c>
      <c r="T8" s="73">
        <v>-621</v>
      </c>
      <c r="U8" s="5">
        <v>-784</v>
      </c>
      <c r="V8" s="5">
        <v>-803</v>
      </c>
      <c r="W8" s="5">
        <v>-826</v>
      </c>
      <c r="X8" s="73">
        <v>-848</v>
      </c>
      <c r="Y8" s="5">
        <v>-667</v>
      </c>
      <c r="Z8" s="5">
        <v>-795</v>
      </c>
      <c r="AA8" s="5">
        <v>-668</v>
      </c>
      <c r="AB8" s="73">
        <v>-687</v>
      </c>
      <c r="AC8" s="5">
        <v>-819</v>
      </c>
      <c r="AD8" s="5">
        <v>-732</v>
      </c>
      <c r="AE8" s="5">
        <v>-692</v>
      </c>
      <c r="AF8" s="73">
        <v>-923</v>
      </c>
      <c r="AG8" s="5">
        <v>-721</v>
      </c>
      <c r="AH8" s="5">
        <v>-818</v>
      </c>
      <c r="AI8" s="5">
        <v>-903</v>
      </c>
      <c r="AJ8" s="73">
        <v>-1186</v>
      </c>
      <c r="AK8" s="5">
        <v>-969</v>
      </c>
      <c r="AL8" s="5">
        <v>-1071</v>
      </c>
      <c r="AM8" s="5">
        <v>-974</v>
      </c>
      <c r="AN8" s="73">
        <v>-1091</v>
      </c>
      <c r="AO8" s="5">
        <v>-1124</v>
      </c>
      <c r="AP8" s="5">
        <v>-1237</v>
      </c>
      <c r="AQ8" s="5">
        <v>-1069</v>
      </c>
      <c r="AR8" s="73">
        <v>-1101</v>
      </c>
      <c r="AS8" s="5">
        <v>-1200</v>
      </c>
      <c r="AT8" s="5">
        <v>-1093</v>
      </c>
      <c r="AU8" s="58"/>
    </row>
    <row r="9" spans="1:47">
      <c r="A9" s="4" t="s">
        <v>3</v>
      </c>
      <c r="B9" s="5">
        <v>-2346</v>
      </c>
      <c r="C9" s="5">
        <v>-2164</v>
      </c>
      <c r="D9" s="5">
        <v>-2280</v>
      </c>
      <c r="E9" s="5">
        <v>-2574</v>
      </c>
      <c r="F9" s="5">
        <v>-2797</v>
      </c>
      <c r="G9" s="5">
        <v>-2225</v>
      </c>
      <c r="H9" s="5">
        <v>-2313</v>
      </c>
      <c r="I9" s="5">
        <v>-3042</v>
      </c>
      <c r="J9" s="5">
        <v>-3959</v>
      </c>
      <c r="K9" s="5">
        <v>-4250</v>
      </c>
      <c r="M9" s="5">
        <v>-561</v>
      </c>
      <c r="N9" s="5">
        <v>-596</v>
      </c>
      <c r="O9" s="5">
        <v>-526</v>
      </c>
      <c r="P9" s="73">
        <v>-597</v>
      </c>
      <c r="Q9" s="5">
        <v>-600</v>
      </c>
      <c r="R9" s="5">
        <v>-676</v>
      </c>
      <c r="S9" s="5">
        <v>-630</v>
      </c>
      <c r="T9" s="73">
        <v>-668</v>
      </c>
      <c r="U9" s="5">
        <v>-663</v>
      </c>
      <c r="V9" s="5">
        <v>-710</v>
      </c>
      <c r="W9" s="5">
        <v>-734</v>
      </c>
      <c r="X9" s="73">
        <v>-690</v>
      </c>
      <c r="Y9" s="5">
        <v>-664</v>
      </c>
      <c r="Z9" s="5">
        <v>-543</v>
      </c>
      <c r="AA9" s="5">
        <v>-501</v>
      </c>
      <c r="AB9" s="73">
        <v>-517</v>
      </c>
      <c r="AC9" s="5">
        <v>-528</v>
      </c>
      <c r="AD9" s="5">
        <v>-570</v>
      </c>
      <c r="AE9" s="5">
        <v>-582</v>
      </c>
      <c r="AF9" s="73">
        <v>-633</v>
      </c>
      <c r="AG9" s="5">
        <v>-641</v>
      </c>
      <c r="AH9" s="5">
        <v>-767</v>
      </c>
      <c r="AI9" s="5">
        <v>-782</v>
      </c>
      <c r="AJ9" s="73">
        <v>-852</v>
      </c>
      <c r="AK9" s="5">
        <v>-926</v>
      </c>
      <c r="AL9" s="5">
        <v>-1012</v>
      </c>
      <c r="AM9" s="5">
        <v>-1001</v>
      </c>
      <c r="AN9" s="73">
        <v>-1020</v>
      </c>
      <c r="AO9" s="5">
        <v>-953</v>
      </c>
      <c r="AP9" s="5">
        <v>-1131</v>
      </c>
      <c r="AQ9" s="5">
        <v>-1075</v>
      </c>
      <c r="AR9" s="73">
        <v>-1091</v>
      </c>
      <c r="AS9" s="5">
        <v>-1025</v>
      </c>
      <c r="AT9" s="5">
        <v>-1009</v>
      </c>
      <c r="AU9" s="58"/>
    </row>
    <row r="10" spans="1:47">
      <c r="A10" s="4" t="s">
        <v>5</v>
      </c>
      <c r="B10" s="5">
        <v>-861</v>
      </c>
      <c r="C10" s="5">
        <v>-662</v>
      </c>
      <c r="D10" s="5">
        <v>-795</v>
      </c>
      <c r="E10" s="5">
        <v>-977</v>
      </c>
      <c r="F10" s="5">
        <v>-1035</v>
      </c>
      <c r="G10" s="5">
        <v>-1032</v>
      </c>
      <c r="H10" s="5">
        <v>-1172</v>
      </c>
      <c r="I10" s="5">
        <v>-1438</v>
      </c>
      <c r="J10" s="5">
        <v>-1930</v>
      </c>
      <c r="K10" s="5">
        <v>-2282</v>
      </c>
      <c r="M10" s="5">
        <v>-190</v>
      </c>
      <c r="N10" s="5">
        <v>-184</v>
      </c>
      <c r="O10" s="5">
        <v>-189</v>
      </c>
      <c r="P10" s="73">
        <v>-232</v>
      </c>
      <c r="Q10" s="5">
        <v>-222</v>
      </c>
      <c r="R10" s="5">
        <v>-257</v>
      </c>
      <c r="S10" s="5">
        <v>-217</v>
      </c>
      <c r="T10" s="73">
        <v>-281</v>
      </c>
      <c r="U10" s="5">
        <v>-275</v>
      </c>
      <c r="V10" s="5">
        <v>-271</v>
      </c>
      <c r="W10" s="5">
        <v>-227</v>
      </c>
      <c r="X10" s="73">
        <v>-262</v>
      </c>
      <c r="Y10" s="5">
        <v>-271</v>
      </c>
      <c r="Z10" s="5">
        <v>-287</v>
      </c>
      <c r="AA10" s="5">
        <v>-231</v>
      </c>
      <c r="AB10" s="73">
        <v>-243</v>
      </c>
      <c r="AC10" s="5">
        <v>-229</v>
      </c>
      <c r="AD10" s="5">
        <v>-283</v>
      </c>
      <c r="AE10" s="5">
        <v>-300</v>
      </c>
      <c r="AF10" s="73">
        <v>-360</v>
      </c>
      <c r="AG10" s="5">
        <v>-319</v>
      </c>
      <c r="AH10" s="5">
        <v>-363</v>
      </c>
      <c r="AI10" s="5">
        <v>-360</v>
      </c>
      <c r="AJ10" s="73">
        <v>-396</v>
      </c>
      <c r="AK10" s="5">
        <v>-452</v>
      </c>
      <c r="AL10" s="5">
        <v>-497</v>
      </c>
      <c r="AM10" s="5">
        <v>-517</v>
      </c>
      <c r="AN10" s="73">
        <v>-464</v>
      </c>
      <c r="AO10" s="5">
        <v>-461</v>
      </c>
      <c r="AP10" s="5">
        <v>-537</v>
      </c>
      <c r="AQ10" s="5">
        <v>-771</v>
      </c>
      <c r="AR10" s="73">
        <v>-513</v>
      </c>
      <c r="AS10" s="5">
        <v>-500</v>
      </c>
      <c r="AT10" s="5">
        <v>-505</v>
      </c>
      <c r="AU10" s="632"/>
    </row>
    <row r="11" spans="1:47">
      <c r="A11" s="4" t="s">
        <v>172</v>
      </c>
      <c r="B11" s="5">
        <v>28</v>
      </c>
      <c r="C11" s="5">
        <v>154</v>
      </c>
      <c r="D11" s="5">
        <v>-136</v>
      </c>
      <c r="E11" s="5">
        <v>-435</v>
      </c>
      <c r="F11" s="5">
        <v>-61</v>
      </c>
      <c r="G11" s="5">
        <v>-250</v>
      </c>
      <c r="H11" s="5">
        <v>222</v>
      </c>
      <c r="I11" s="5">
        <v>273</v>
      </c>
      <c r="J11" s="5">
        <v>46</v>
      </c>
      <c r="K11" s="5">
        <v>522</v>
      </c>
      <c r="M11" s="5">
        <v>-40</v>
      </c>
      <c r="N11" s="5">
        <v>-91</v>
      </c>
      <c r="O11" s="5">
        <v>-32</v>
      </c>
      <c r="P11" s="73">
        <v>25</v>
      </c>
      <c r="Q11" s="5">
        <v>-106</v>
      </c>
      <c r="R11" s="5">
        <v>-109</v>
      </c>
      <c r="S11" s="5">
        <v>-124</v>
      </c>
      <c r="T11" s="73">
        <v>-96</v>
      </c>
      <c r="U11" s="5">
        <v>58</v>
      </c>
      <c r="V11" s="5">
        <v>-22</v>
      </c>
      <c r="W11" s="5">
        <v>-11</v>
      </c>
      <c r="X11" s="73">
        <v>-86</v>
      </c>
      <c r="Y11" s="5">
        <v>-26</v>
      </c>
      <c r="Z11" s="5">
        <v>-106</v>
      </c>
      <c r="AA11" s="5">
        <v>-33</v>
      </c>
      <c r="AB11" s="73">
        <v>-85</v>
      </c>
      <c r="AC11" s="5">
        <v>107</v>
      </c>
      <c r="AD11" s="5">
        <v>-61</v>
      </c>
      <c r="AE11" s="5">
        <v>-38</v>
      </c>
      <c r="AF11" s="73">
        <v>214</v>
      </c>
      <c r="AG11" s="5">
        <v>62</v>
      </c>
      <c r="AH11" s="5">
        <v>288</v>
      </c>
      <c r="AI11" s="5">
        <v>45</v>
      </c>
      <c r="AJ11" s="73">
        <v>-122</v>
      </c>
      <c r="AK11" s="5">
        <v>-85</v>
      </c>
      <c r="AL11" s="5">
        <v>-30</v>
      </c>
      <c r="AM11" s="5">
        <v>-21</v>
      </c>
      <c r="AN11" s="73">
        <v>182</v>
      </c>
      <c r="AO11" s="5">
        <v>130</v>
      </c>
      <c r="AP11" s="5">
        <v>-113</v>
      </c>
      <c r="AQ11" s="5">
        <v>367</v>
      </c>
      <c r="AR11" s="73">
        <v>138</v>
      </c>
      <c r="AS11" s="5">
        <v>-327</v>
      </c>
      <c r="AT11" s="5">
        <v>-233</v>
      </c>
    </row>
    <row r="12" spans="1:47">
      <c r="A12" s="4" t="s">
        <v>86</v>
      </c>
      <c r="B12" s="5">
        <v>2</v>
      </c>
      <c r="C12" s="5">
        <v>0</v>
      </c>
      <c r="D12" s="5">
        <v>-1</v>
      </c>
      <c r="E12" s="5">
        <v>-8</v>
      </c>
      <c r="F12" s="5">
        <v>-12</v>
      </c>
      <c r="G12" s="5">
        <v>2</v>
      </c>
      <c r="H12" s="5">
        <v>-29</v>
      </c>
      <c r="I12" s="5">
        <v>-37</v>
      </c>
      <c r="J12" s="5">
        <v>-15</v>
      </c>
      <c r="K12" s="5">
        <v>-20</v>
      </c>
      <c r="M12" s="5">
        <v>1</v>
      </c>
      <c r="N12" s="5">
        <v>0</v>
      </c>
      <c r="O12" s="5">
        <v>0</v>
      </c>
      <c r="P12" s="73"/>
      <c r="Q12" s="5">
        <v>0</v>
      </c>
      <c r="R12" s="5">
        <v>-3</v>
      </c>
      <c r="S12" s="5">
        <v>3.5494597235000001</v>
      </c>
      <c r="T12" s="73">
        <v>-9</v>
      </c>
      <c r="U12" s="5">
        <v>-2</v>
      </c>
      <c r="V12" s="5">
        <v>-7</v>
      </c>
      <c r="W12" s="5">
        <v>-2</v>
      </c>
      <c r="X12" s="73">
        <v>-1</v>
      </c>
      <c r="Y12" s="5">
        <v>-3</v>
      </c>
      <c r="Z12" s="99">
        <v>0</v>
      </c>
      <c r="AA12" s="5">
        <v>-2</v>
      </c>
      <c r="AB12" s="73">
        <v>7</v>
      </c>
      <c r="AC12" s="5">
        <v>-4</v>
      </c>
      <c r="AD12" s="99">
        <v>-7</v>
      </c>
      <c r="AE12" s="99">
        <v>-3</v>
      </c>
      <c r="AF12" s="73">
        <v>-15</v>
      </c>
      <c r="AG12" s="5">
        <v>-7</v>
      </c>
      <c r="AH12" s="99">
        <v>-14</v>
      </c>
      <c r="AI12" s="99">
        <v>-13</v>
      </c>
      <c r="AJ12" s="73">
        <v>-3</v>
      </c>
      <c r="AK12" s="5">
        <v>-3</v>
      </c>
      <c r="AL12" s="99">
        <v>0</v>
      </c>
      <c r="AM12" s="99">
        <v>-6</v>
      </c>
      <c r="AN12" s="73">
        <v>-6</v>
      </c>
      <c r="AO12" s="5">
        <v>-14</v>
      </c>
      <c r="AP12" s="99">
        <v>-10</v>
      </c>
      <c r="AQ12" s="99">
        <v>0</v>
      </c>
      <c r="AR12" s="73">
        <v>4</v>
      </c>
      <c r="AS12" s="5">
        <v>0</v>
      </c>
      <c r="AT12" s="99">
        <v>0</v>
      </c>
    </row>
    <row r="13" spans="1:47" ht="10.5">
      <c r="A13" s="6" t="s">
        <v>6</v>
      </c>
      <c r="B13" s="9">
        <v>5175</v>
      </c>
      <c r="C13" s="9">
        <v>4548</v>
      </c>
      <c r="D13" s="9">
        <v>5930</v>
      </c>
      <c r="E13" s="9">
        <v>7385</v>
      </c>
      <c r="F13" s="9">
        <v>8136</v>
      </c>
      <c r="G13" s="9">
        <v>7382</v>
      </c>
      <c r="H13" s="9">
        <v>8995</v>
      </c>
      <c r="I13" s="9">
        <v>11147</v>
      </c>
      <c r="J13" s="9">
        <v>13183</v>
      </c>
      <c r="K13" s="9">
        <v>12385</v>
      </c>
      <c r="M13" s="9">
        <v>1414</v>
      </c>
      <c r="N13" s="9">
        <v>1468</v>
      </c>
      <c r="O13" s="9">
        <v>1520</v>
      </c>
      <c r="P13" s="75">
        <v>1528</v>
      </c>
      <c r="Q13" s="9">
        <v>1515</v>
      </c>
      <c r="R13" s="9">
        <v>1810</v>
      </c>
      <c r="S13" s="9">
        <v>1898</v>
      </c>
      <c r="T13" s="75">
        <v>2162</v>
      </c>
      <c r="U13" s="9">
        <v>1930</v>
      </c>
      <c r="V13" s="9">
        <v>2263</v>
      </c>
      <c r="W13" s="9">
        <v>1927</v>
      </c>
      <c r="X13" s="75">
        <v>2016</v>
      </c>
      <c r="Y13" s="9">
        <v>1932</v>
      </c>
      <c r="Z13" s="9">
        <v>1418</v>
      </c>
      <c r="AA13" s="9">
        <v>1820</v>
      </c>
      <c r="AB13" s="75">
        <v>2212</v>
      </c>
      <c r="AC13" s="9">
        <v>1867</v>
      </c>
      <c r="AD13" s="9">
        <v>2182</v>
      </c>
      <c r="AE13" s="9">
        <v>2352</v>
      </c>
      <c r="AF13" s="75">
        <v>2594</v>
      </c>
      <c r="AG13" s="9">
        <v>2631</v>
      </c>
      <c r="AH13" s="9">
        <v>2381</v>
      </c>
      <c r="AI13" s="9">
        <v>2900</v>
      </c>
      <c r="AJ13" s="75">
        <v>3235</v>
      </c>
      <c r="AK13" s="9">
        <v>3161</v>
      </c>
      <c r="AL13" s="9">
        <v>3413</v>
      </c>
      <c r="AM13" s="9">
        <v>3260</v>
      </c>
      <c r="AN13" s="75">
        <v>3349</v>
      </c>
      <c r="AO13" s="9">
        <v>2760</v>
      </c>
      <c r="AP13" s="9">
        <v>2921</v>
      </c>
      <c r="AQ13" s="9">
        <v>3277</v>
      </c>
      <c r="AR13" s="75">
        <v>3427</v>
      </c>
      <c r="AS13" s="9">
        <v>3088</v>
      </c>
      <c r="AT13" s="9">
        <v>2831</v>
      </c>
    </row>
    <row r="14" spans="1:47" s="54" customFormat="1">
      <c r="A14" s="11" t="s">
        <v>7</v>
      </c>
      <c r="B14" s="12">
        <v>0.18054634895161009</v>
      </c>
      <c r="C14" s="12">
        <v>0.16781049369050255</v>
      </c>
      <c r="D14" s="12">
        <v>0.18907027164902435</v>
      </c>
      <c r="E14" s="12">
        <v>0.19289538983936266</v>
      </c>
      <c r="F14" s="12">
        <v>0.19917256236382774</v>
      </c>
      <c r="G14" s="12">
        <v>0.20399999999999999</v>
      </c>
      <c r="H14" s="12">
        <v>0.22700000000000001</v>
      </c>
      <c r="I14" s="12">
        <v>0.224</v>
      </c>
      <c r="J14" s="12">
        <v>0.218</v>
      </c>
      <c r="K14" s="12">
        <v>0.19500000000000001</v>
      </c>
      <c r="M14" s="12">
        <v>0.19079746323033328</v>
      </c>
      <c r="N14" s="12">
        <v>0.1863180606675974</v>
      </c>
      <c r="O14" s="12">
        <v>0.19973718791064388</v>
      </c>
      <c r="P14" s="76">
        <v>0.18052930056710775</v>
      </c>
      <c r="Q14" s="12">
        <v>0.18401554718814528</v>
      </c>
      <c r="R14" s="12">
        <v>0.18388702631311593</v>
      </c>
      <c r="S14" s="12">
        <v>0.19666355818049944</v>
      </c>
      <c r="T14" s="76">
        <v>0.20477363136957757</v>
      </c>
      <c r="U14" s="12">
        <v>0.19724067450178845</v>
      </c>
      <c r="V14" s="12">
        <v>0.2129681912290608</v>
      </c>
      <c r="W14" s="12">
        <v>0.1897026973813743</v>
      </c>
      <c r="X14" s="76">
        <v>0.19610894941634241</v>
      </c>
      <c r="Y14" s="12">
        <v>0.21199999999999999</v>
      </c>
      <c r="Z14" s="12">
        <v>0.167651927169544</v>
      </c>
      <c r="AA14" s="12">
        <v>0.20899999999999999</v>
      </c>
      <c r="AB14" s="76">
        <v>0.22600000000000001</v>
      </c>
      <c r="AC14" s="12">
        <v>0.21299999999999999</v>
      </c>
      <c r="AD14" s="12">
        <v>0.224</v>
      </c>
      <c r="AE14" s="12">
        <v>0.23599999999999999</v>
      </c>
      <c r="AF14" s="76">
        <v>0.23216683075270741</v>
      </c>
      <c r="AG14" s="12">
        <v>0.23699999999999999</v>
      </c>
      <c r="AH14" s="12">
        <v>0.20062352544657905</v>
      </c>
      <c r="AI14" s="12">
        <v>0.22652710513982191</v>
      </c>
      <c r="AJ14" s="76">
        <v>0.23213260619977039</v>
      </c>
      <c r="AK14" s="12">
        <v>0.22793481396019613</v>
      </c>
      <c r="AL14" s="12">
        <v>0.215</v>
      </c>
      <c r="AM14" s="12">
        <v>0.21737680869507234</v>
      </c>
      <c r="AN14" s="76">
        <v>0.21512076053442961</v>
      </c>
      <c r="AO14" s="12">
        <v>0.19514954394400055</v>
      </c>
      <c r="AP14" s="12">
        <v>0.17691236145599903</v>
      </c>
      <c r="AQ14" s="12">
        <v>0.20873941015351297</v>
      </c>
      <c r="AR14" s="76">
        <v>0.19865515042606224</v>
      </c>
      <c r="AS14" s="986" t="s">
        <v>1266</v>
      </c>
      <c r="AT14" s="12">
        <v>0.18711169861202909</v>
      </c>
    </row>
    <row r="15" spans="1:47" s="54" customFormat="1">
      <c r="A15" s="4" t="s">
        <v>74</v>
      </c>
      <c r="B15" s="26">
        <v>176</v>
      </c>
      <c r="C15" s="26">
        <v>214</v>
      </c>
      <c r="D15" s="5">
        <v>201</v>
      </c>
      <c r="E15" s="5">
        <v>175</v>
      </c>
      <c r="F15" s="5">
        <v>180</v>
      </c>
      <c r="G15" s="5">
        <v>144</v>
      </c>
      <c r="H15" s="5">
        <v>166</v>
      </c>
      <c r="I15" s="5">
        <v>238</v>
      </c>
      <c r="J15" s="5">
        <v>349</v>
      </c>
      <c r="K15" s="5">
        <v>470</v>
      </c>
      <c r="M15" s="26">
        <v>53</v>
      </c>
      <c r="N15" s="26">
        <v>48</v>
      </c>
      <c r="O15" s="26">
        <v>43</v>
      </c>
      <c r="P15" s="89">
        <v>57</v>
      </c>
      <c r="Q15" s="5">
        <v>51</v>
      </c>
      <c r="R15" s="5">
        <v>43</v>
      </c>
      <c r="S15" s="5">
        <v>38</v>
      </c>
      <c r="T15" s="73">
        <v>43</v>
      </c>
      <c r="U15" s="5">
        <v>48</v>
      </c>
      <c r="V15" s="5">
        <v>40</v>
      </c>
      <c r="W15" s="5">
        <v>43</v>
      </c>
      <c r="X15" s="73">
        <v>48</v>
      </c>
      <c r="Y15" s="5">
        <v>47</v>
      </c>
      <c r="Z15" s="5">
        <v>39</v>
      </c>
      <c r="AA15" s="5">
        <v>30</v>
      </c>
      <c r="AB15" s="73">
        <v>28</v>
      </c>
      <c r="AC15" s="5">
        <v>29</v>
      </c>
      <c r="AD15" s="5">
        <v>27</v>
      </c>
      <c r="AE15" s="5">
        <v>27</v>
      </c>
      <c r="AF15" s="73">
        <v>83</v>
      </c>
      <c r="AG15" s="5">
        <v>33.383570076600002</v>
      </c>
      <c r="AH15" s="5">
        <v>44</v>
      </c>
      <c r="AI15" s="5">
        <v>79.197162284400008</v>
      </c>
      <c r="AJ15" s="73">
        <v>81.465854339799989</v>
      </c>
      <c r="AK15" s="5">
        <v>66.684681879500005</v>
      </c>
      <c r="AL15" s="5">
        <v>72</v>
      </c>
      <c r="AM15" s="5">
        <v>85.851937377200016</v>
      </c>
      <c r="AN15" s="73">
        <v>124.39643199120002</v>
      </c>
      <c r="AO15" s="5">
        <v>142</v>
      </c>
      <c r="AP15" s="5">
        <f>255-142+1</f>
        <v>114</v>
      </c>
      <c r="AQ15" s="5">
        <v>103</v>
      </c>
      <c r="AR15" s="73">
        <v>111</v>
      </c>
      <c r="AS15" s="5">
        <v>112</v>
      </c>
      <c r="AT15" s="5">
        <v>84</v>
      </c>
    </row>
    <row r="16" spans="1:47" s="54" customFormat="1">
      <c r="A16" s="4" t="s">
        <v>75</v>
      </c>
      <c r="B16" s="26">
        <v>-396</v>
      </c>
      <c r="C16" s="26">
        <v>-351</v>
      </c>
      <c r="D16" s="5">
        <v>-338</v>
      </c>
      <c r="E16" s="5">
        <v>-359</v>
      </c>
      <c r="F16" s="5">
        <v>-473</v>
      </c>
      <c r="G16" s="5">
        <v>-439</v>
      </c>
      <c r="H16" s="5">
        <v>-197</v>
      </c>
      <c r="I16" s="5">
        <v>-607</v>
      </c>
      <c r="J16" s="5">
        <v>-1297</v>
      </c>
      <c r="K16" s="5">
        <v>-1416</v>
      </c>
      <c r="M16" s="26">
        <v>-76</v>
      </c>
      <c r="N16" s="26">
        <v>-58</v>
      </c>
      <c r="O16" s="26">
        <v>-62</v>
      </c>
      <c r="P16" s="89">
        <v>-142</v>
      </c>
      <c r="Q16" s="5">
        <v>-108</v>
      </c>
      <c r="R16" s="5">
        <v>-87</v>
      </c>
      <c r="S16" s="5">
        <v>-74.982705969999984</v>
      </c>
      <c r="T16" s="73">
        <v>-89.017294030000016</v>
      </c>
      <c r="U16" s="5">
        <v>-148</v>
      </c>
      <c r="V16" s="5">
        <v>-78</v>
      </c>
      <c r="W16" s="5">
        <v>-104</v>
      </c>
      <c r="X16" s="73">
        <v>-142</v>
      </c>
      <c r="Y16" s="5">
        <v>-93</v>
      </c>
      <c r="Z16" s="5">
        <v>-90</v>
      </c>
      <c r="AA16" s="5">
        <v>-106</v>
      </c>
      <c r="AB16" s="73">
        <v>-150</v>
      </c>
      <c r="AC16" s="5">
        <v>-62</v>
      </c>
      <c r="AD16" s="5">
        <v>-71</v>
      </c>
      <c r="AE16" s="5">
        <v>46</v>
      </c>
      <c r="AF16" s="73">
        <v>-110</v>
      </c>
      <c r="AG16" s="5">
        <v>-100</v>
      </c>
      <c r="AH16" s="5">
        <v>-133</v>
      </c>
      <c r="AI16" s="5">
        <v>-103</v>
      </c>
      <c r="AJ16" s="73">
        <v>-271</v>
      </c>
      <c r="AK16" s="5">
        <v>-263.66064015979998</v>
      </c>
      <c r="AL16" s="5">
        <v>-57</v>
      </c>
      <c r="AM16" s="5">
        <v>-417.20796022990004</v>
      </c>
      <c r="AN16" s="73">
        <v>-558.6823789140002</v>
      </c>
      <c r="AO16" s="5">
        <v>-258</v>
      </c>
      <c r="AP16" s="5">
        <f>-639+258+2</f>
        <v>-379</v>
      </c>
      <c r="AQ16" s="5">
        <v>-367</v>
      </c>
      <c r="AR16" s="73">
        <v>-412</v>
      </c>
      <c r="AS16" s="5">
        <v>-319</v>
      </c>
      <c r="AT16" s="5">
        <v>-215</v>
      </c>
    </row>
    <row r="17" spans="1:46" ht="10.5">
      <c r="A17" s="6" t="s">
        <v>8</v>
      </c>
      <c r="B17" s="10">
        <v>-220</v>
      </c>
      <c r="C17" s="10">
        <v>-137</v>
      </c>
      <c r="D17" s="10">
        <v>-137</v>
      </c>
      <c r="E17" s="10">
        <v>-184</v>
      </c>
      <c r="F17" s="10">
        <v>-293</v>
      </c>
      <c r="G17" s="10">
        <v>-295</v>
      </c>
      <c r="H17" s="10">
        <v>-31</v>
      </c>
      <c r="I17" s="10">
        <v>-369</v>
      </c>
      <c r="J17" s="10">
        <v>-948</v>
      </c>
      <c r="K17" s="10">
        <v>-946</v>
      </c>
      <c r="M17" s="10">
        <v>-23</v>
      </c>
      <c r="N17" s="10">
        <v>-10</v>
      </c>
      <c r="O17" s="10">
        <v>-19</v>
      </c>
      <c r="P17" s="74">
        <v>-85</v>
      </c>
      <c r="Q17" s="10">
        <v>-57</v>
      </c>
      <c r="R17" s="10">
        <v>-44</v>
      </c>
      <c r="S17" s="10">
        <v>-36.982705969999984</v>
      </c>
      <c r="T17" s="74">
        <v>-46.017294030000016</v>
      </c>
      <c r="U17" s="10">
        <v>-100</v>
      </c>
      <c r="V17" s="10">
        <v>-38</v>
      </c>
      <c r="W17" s="10">
        <v>-61</v>
      </c>
      <c r="X17" s="74">
        <v>-94</v>
      </c>
      <c r="Y17" s="10">
        <v>-46</v>
      </c>
      <c r="Z17" s="10">
        <v>-51</v>
      </c>
      <c r="AA17" s="10">
        <v>-76</v>
      </c>
      <c r="AB17" s="74">
        <v>-122</v>
      </c>
      <c r="AC17" s="10">
        <v>-33</v>
      </c>
      <c r="AD17" s="10">
        <v>-44</v>
      </c>
      <c r="AE17" s="10">
        <v>73</v>
      </c>
      <c r="AF17" s="74">
        <v>-27</v>
      </c>
      <c r="AG17" s="10">
        <v>-67</v>
      </c>
      <c r="AH17" s="10">
        <v>-89</v>
      </c>
      <c r="AI17" s="10">
        <v>-24</v>
      </c>
      <c r="AJ17" s="74">
        <v>-189</v>
      </c>
      <c r="AK17" s="10">
        <v>-197</v>
      </c>
      <c r="AL17" s="10">
        <v>15</v>
      </c>
      <c r="AM17" s="10">
        <v>-331</v>
      </c>
      <c r="AN17" s="74">
        <v>-435</v>
      </c>
      <c r="AO17" s="10">
        <v>-116</v>
      </c>
      <c r="AP17" s="10">
        <v>-265</v>
      </c>
      <c r="AQ17" s="10">
        <v>-264</v>
      </c>
      <c r="AR17" s="74">
        <v>-301</v>
      </c>
      <c r="AS17" s="10">
        <v>-207</v>
      </c>
      <c r="AT17" s="10">
        <v>-131</v>
      </c>
    </row>
    <row r="18" spans="1:46" s="54" customFormat="1">
      <c r="A18" s="11" t="s">
        <v>58</v>
      </c>
      <c r="B18" s="55"/>
      <c r="C18" s="13"/>
      <c r="D18" s="13">
        <v>-132</v>
      </c>
      <c r="E18" s="13">
        <v>-137</v>
      </c>
      <c r="F18" s="13">
        <v>-185</v>
      </c>
      <c r="G18" s="13">
        <v>-117</v>
      </c>
      <c r="H18" s="13">
        <v>-88</v>
      </c>
      <c r="I18" s="13">
        <v>-129</v>
      </c>
      <c r="J18" s="13">
        <v>-476</v>
      </c>
      <c r="K18" s="13">
        <v>-857</v>
      </c>
      <c r="M18" s="13">
        <v>-4</v>
      </c>
      <c r="N18" s="13">
        <v>-6</v>
      </c>
      <c r="O18" s="13">
        <v>-13</v>
      </c>
      <c r="P18" s="77">
        <v>-109</v>
      </c>
      <c r="Q18" s="13">
        <v>-28</v>
      </c>
      <c r="R18" s="13">
        <v>-38</v>
      </c>
      <c r="S18" s="13">
        <v>-33.982705970000012</v>
      </c>
      <c r="T18" s="77">
        <v>-37.017294029999988</v>
      </c>
      <c r="U18" s="13">
        <v>-39</v>
      </c>
      <c r="V18" s="13">
        <v>-57</v>
      </c>
      <c r="W18" s="13">
        <v>-54</v>
      </c>
      <c r="X18" s="77">
        <v>-35</v>
      </c>
      <c r="Y18" s="13">
        <v>-33</v>
      </c>
      <c r="Z18" s="13">
        <v>-19</v>
      </c>
      <c r="AA18" s="13">
        <v>-36</v>
      </c>
      <c r="AB18" s="77">
        <v>-30</v>
      </c>
      <c r="AC18" s="13">
        <v>-20</v>
      </c>
      <c r="AD18" s="13">
        <v>-19</v>
      </c>
      <c r="AE18" s="13">
        <v>-24</v>
      </c>
      <c r="AF18" s="77">
        <v>-25</v>
      </c>
      <c r="AG18" s="13">
        <v>-16</v>
      </c>
      <c r="AH18" s="13">
        <v>-23</v>
      </c>
      <c r="AI18" s="13">
        <v>-23</v>
      </c>
      <c r="AJ18" s="77">
        <v>-67</v>
      </c>
      <c r="AK18" s="13">
        <v>-89</v>
      </c>
      <c r="AL18" s="13">
        <v>-131</v>
      </c>
      <c r="AM18" s="13">
        <v>-146</v>
      </c>
      <c r="AN18" s="77">
        <v>-110</v>
      </c>
      <c r="AO18" s="13">
        <v>-128</v>
      </c>
      <c r="AP18" s="13">
        <v>-231</v>
      </c>
      <c r="AQ18" s="13">
        <v>-250</v>
      </c>
      <c r="AR18" s="77">
        <v>-248</v>
      </c>
      <c r="AS18" s="13">
        <v>-187</v>
      </c>
      <c r="AT18" s="13">
        <v>-198</v>
      </c>
    </row>
    <row r="19" spans="1:46" ht="10.5">
      <c r="A19" s="6" t="s">
        <v>9</v>
      </c>
      <c r="B19" s="10">
        <v>4955</v>
      </c>
      <c r="C19" s="10">
        <v>4411</v>
      </c>
      <c r="D19" s="10">
        <v>5793</v>
      </c>
      <c r="E19" s="10">
        <v>7201</v>
      </c>
      <c r="F19" s="10">
        <v>7843</v>
      </c>
      <c r="G19" s="10">
        <v>7087</v>
      </c>
      <c r="H19" s="10">
        <v>8964</v>
      </c>
      <c r="I19" s="10">
        <v>10778</v>
      </c>
      <c r="J19" s="10">
        <v>12235</v>
      </c>
      <c r="K19" s="10">
        <v>11439</v>
      </c>
      <c r="M19" s="10">
        <v>1391</v>
      </c>
      <c r="N19" s="10">
        <v>1458</v>
      </c>
      <c r="O19" s="10">
        <v>1501</v>
      </c>
      <c r="P19" s="74">
        <v>1443</v>
      </c>
      <c r="Q19" s="10">
        <v>1458</v>
      </c>
      <c r="R19" s="10">
        <v>1766</v>
      </c>
      <c r="S19" s="10">
        <v>1861.0172940299999</v>
      </c>
      <c r="T19" s="74">
        <v>2115.9827059700001</v>
      </c>
      <c r="U19" s="10">
        <v>1830</v>
      </c>
      <c r="V19" s="10">
        <v>2225</v>
      </c>
      <c r="W19" s="10">
        <v>1866</v>
      </c>
      <c r="X19" s="74">
        <v>1922</v>
      </c>
      <c r="Y19" s="10">
        <v>1886</v>
      </c>
      <c r="Z19" s="10">
        <v>1367</v>
      </c>
      <c r="AA19" s="10">
        <v>1744</v>
      </c>
      <c r="AB19" s="74">
        <v>2090</v>
      </c>
      <c r="AC19" s="10">
        <v>1834</v>
      </c>
      <c r="AD19" s="10">
        <v>2138</v>
      </c>
      <c r="AE19" s="10">
        <v>2425</v>
      </c>
      <c r="AF19" s="74">
        <v>2567</v>
      </c>
      <c r="AG19" s="10">
        <v>2564</v>
      </c>
      <c r="AH19" s="10">
        <v>2292</v>
      </c>
      <c r="AI19" s="10">
        <v>2876</v>
      </c>
      <c r="AJ19" s="74">
        <v>3046</v>
      </c>
      <c r="AK19" s="10">
        <v>2964</v>
      </c>
      <c r="AL19" s="10">
        <v>3428</v>
      </c>
      <c r="AM19" s="10">
        <v>2929</v>
      </c>
      <c r="AN19" s="74">
        <v>2914</v>
      </c>
      <c r="AO19" s="10">
        <v>2644</v>
      </c>
      <c r="AP19" s="10">
        <v>2656</v>
      </c>
      <c r="AQ19" s="10">
        <v>3013</v>
      </c>
      <c r="AR19" s="74">
        <v>3126</v>
      </c>
      <c r="AS19" s="10">
        <v>2881</v>
      </c>
      <c r="AT19" s="10">
        <v>2700</v>
      </c>
    </row>
    <row r="20" spans="1:46" s="54" customFormat="1">
      <c r="A20" s="11" t="s">
        <v>87</v>
      </c>
      <c r="B20" s="12">
        <v>0.17287094860970589</v>
      </c>
      <c r="C20" s="12">
        <v>0.16275551619806655</v>
      </c>
      <c r="D20" s="12">
        <v>0.18470220635123072</v>
      </c>
      <c r="E20" s="12">
        <v>0.1880893300248139</v>
      </c>
      <c r="F20" s="12">
        <v>0.19199980415677251</v>
      </c>
      <c r="G20" s="12">
        <v>0.19600000000000001</v>
      </c>
      <c r="H20" s="12">
        <v>0.22600000000000001</v>
      </c>
      <c r="I20" s="12">
        <v>0.217</v>
      </c>
      <c r="J20" s="12">
        <v>0.20300000000000001</v>
      </c>
      <c r="K20" s="12">
        <v>0.18</v>
      </c>
      <c r="M20" s="12">
        <v>0.18769396842531372</v>
      </c>
      <c r="N20" s="12">
        <v>0.18504886406904431</v>
      </c>
      <c r="O20" s="12">
        <v>0.19724047306176085</v>
      </c>
      <c r="P20" s="76">
        <v>0.17048676748582231</v>
      </c>
      <c r="Q20" s="12">
        <v>0.17709218996720516</v>
      </c>
      <c r="R20" s="12">
        <v>0.17941684445799044</v>
      </c>
      <c r="S20" s="12">
        <v>0.1928315505160087</v>
      </c>
      <c r="T20" s="76">
        <v>0.2004151075932942</v>
      </c>
      <c r="U20" s="12">
        <v>0.18702095043433828</v>
      </c>
      <c r="V20" s="12">
        <v>0.20939205721814416</v>
      </c>
      <c r="W20" s="12">
        <v>0.18369757826343769</v>
      </c>
      <c r="X20" s="76">
        <v>0.18696498054474708</v>
      </c>
      <c r="Y20" s="12">
        <v>0.20599999999999999</v>
      </c>
      <c r="Z20" s="12">
        <v>0.16200000000000001</v>
      </c>
      <c r="AA20" s="12">
        <v>0.2</v>
      </c>
      <c r="AB20" s="76">
        <v>0.21299999999999999</v>
      </c>
      <c r="AC20" s="12">
        <v>0.20899999999999999</v>
      </c>
      <c r="AD20" s="12">
        <v>0.22</v>
      </c>
      <c r="AE20" s="12">
        <v>0.24299999999999999</v>
      </c>
      <c r="AF20" s="76">
        <v>0.22975029087979951</v>
      </c>
      <c r="AG20" s="12">
        <v>0.23100000000000001</v>
      </c>
      <c r="AH20" s="12">
        <v>0.19312436804853386</v>
      </c>
      <c r="AI20" s="12">
        <v>0.22465239806280268</v>
      </c>
      <c r="AJ20" s="76">
        <v>0.21857060849598162</v>
      </c>
      <c r="AK20" s="12">
        <v>0.21372944909143352</v>
      </c>
      <c r="AL20" s="12">
        <v>0.215</v>
      </c>
      <c r="AM20" s="12">
        <v>0.1953057278122291</v>
      </c>
      <c r="AN20" s="76">
        <v>0.18717882836587874</v>
      </c>
      <c r="AO20" s="12">
        <v>0.18694760658983242</v>
      </c>
      <c r="AP20" s="12">
        <v>0.16086245533280844</v>
      </c>
      <c r="AQ20" s="12">
        <v>0.19192305242372126</v>
      </c>
      <c r="AR20" s="76">
        <v>0.18120688655730102</v>
      </c>
      <c r="AS20" s="986" t="s">
        <v>1267</v>
      </c>
      <c r="AT20" s="12">
        <v>0.17845340383344349</v>
      </c>
    </row>
    <row r="21" spans="1:46">
      <c r="A21" s="4" t="s">
        <v>119</v>
      </c>
      <c r="B21" s="8">
        <v>-1384</v>
      </c>
      <c r="C21" s="8">
        <v>-1180</v>
      </c>
      <c r="D21" s="5">
        <v>-1495</v>
      </c>
      <c r="E21" s="5">
        <v>-1764</v>
      </c>
      <c r="F21" s="5">
        <v>-1959</v>
      </c>
      <c r="G21" s="5">
        <v>-1677</v>
      </c>
      <c r="H21" s="8">
        <v>-1895</v>
      </c>
      <c r="I21" s="8">
        <v>-2367</v>
      </c>
      <c r="J21" s="8">
        <v>-2777</v>
      </c>
      <c r="K21" s="8">
        <v>-2683</v>
      </c>
      <c r="M21" s="8">
        <v>-342</v>
      </c>
      <c r="N21" s="8">
        <v>-380</v>
      </c>
      <c r="O21" s="8">
        <v>-434</v>
      </c>
      <c r="P21" s="90">
        <v>-339</v>
      </c>
      <c r="Q21" s="5">
        <v>-377</v>
      </c>
      <c r="R21" s="5">
        <v>-445</v>
      </c>
      <c r="S21" s="5">
        <v>-449</v>
      </c>
      <c r="T21" s="73">
        <v>-493</v>
      </c>
      <c r="U21" s="5">
        <v>-456</v>
      </c>
      <c r="V21" s="5">
        <v>-545</v>
      </c>
      <c r="W21" s="5">
        <v>-525</v>
      </c>
      <c r="X21" s="73">
        <v>-433</v>
      </c>
      <c r="Y21" s="5">
        <v>-464</v>
      </c>
      <c r="Z21" s="5">
        <v>-340</v>
      </c>
      <c r="AA21" s="5">
        <v>-420</v>
      </c>
      <c r="AB21" s="73">
        <v>-453</v>
      </c>
      <c r="AC21" s="5">
        <v>-444</v>
      </c>
      <c r="AD21" s="5">
        <v>-445</v>
      </c>
      <c r="AE21" s="5">
        <v>-496</v>
      </c>
      <c r="AF21" s="73">
        <v>-510</v>
      </c>
      <c r="AG21" s="5">
        <v>-564</v>
      </c>
      <c r="AH21" s="5">
        <v>-519</v>
      </c>
      <c r="AI21" s="5">
        <v>-633</v>
      </c>
      <c r="AJ21" s="73">
        <v>-651</v>
      </c>
      <c r="AK21" s="5">
        <v>-671</v>
      </c>
      <c r="AL21" s="5">
        <v>-775</v>
      </c>
      <c r="AM21" s="5">
        <v>-685</v>
      </c>
      <c r="AN21" s="73">
        <v>-646</v>
      </c>
      <c r="AO21" s="5">
        <v>-634</v>
      </c>
      <c r="AP21" s="5">
        <v>-612</v>
      </c>
      <c r="AQ21" s="5">
        <v>-690</v>
      </c>
      <c r="AR21" s="73">
        <v>-747</v>
      </c>
      <c r="AS21" s="5">
        <v>-685</v>
      </c>
      <c r="AT21" s="5">
        <v>-597</v>
      </c>
    </row>
    <row r="22" spans="1:46">
      <c r="A22" s="11" t="s">
        <v>105</v>
      </c>
      <c r="B22" s="52"/>
      <c r="C22" s="52"/>
      <c r="D22" s="56">
        <v>0.25807008458484376</v>
      </c>
      <c r="E22" s="56">
        <v>0.24496597694764616</v>
      </c>
      <c r="F22" s="56">
        <v>0.24977687109524416</v>
      </c>
      <c r="G22" s="56">
        <v>0.23699999999999999</v>
      </c>
      <c r="H22" s="56">
        <v>0.21099999999999999</v>
      </c>
      <c r="I22" s="56">
        <v>0.22</v>
      </c>
      <c r="J22" s="56">
        <v>0.22700000000000001</v>
      </c>
      <c r="K22" s="56">
        <v>0.23499999999999999</v>
      </c>
      <c r="M22" s="40">
        <v>0.24586628324946083</v>
      </c>
      <c r="N22" s="40">
        <v>0.26063100137174211</v>
      </c>
      <c r="O22" s="40">
        <v>0.28914057295136575</v>
      </c>
      <c r="P22" s="91">
        <v>0.23492723492723494</v>
      </c>
      <c r="Q22" s="56">
        <v>0.25857338820301784</v>
      </c>
      <c r="R22" s="56">
        <v>0.25198187995469989</v>
      </c>
      <c r="S22" s="56">
        <v>0.24126589335862564</v>
      </c>
      <c r="T22" s="78">
        <v>0.23298867169805199</v>
      </c>
      <c r="U22" s="56">
        <v>0.24918032786885247</v>
      </c>
      <c r="V22" s="56">
        <v>0.24494382022471911</v>
      </c>
      <c r="W22" s="56">
        <v>0.28135048231511256</v>
      </c>
      <c r="X22" s="78">
        <v>0.22528616024973985</v>
      </c>
      <c r="Y22" s="56">
        <v>0.246</v>
      </c>
      <c r="Z22" s="56">
        <v>0.248</v>
      </c>
      <c r="AA22" s="56">
        <v>0.24099999999999999</v>
      </c>
      <c r="AB22" s="78">
        <v>0.217</v>
      </c>
      <c r="AC22" s="56">
        <v>0.24209</v>
      </c>
      <c r="AD22" s="56">
        <v>0.20799999999999999</v>
      </c>
      <c r="AE22" s="56">
        <v>0.20499999999999999</v>
      </c>
      <c r="AF22" s="78">
        <v>0.19900000000000001</v>
      </c>
      <c r="AG22" s="56">
        <v>0.22</v>
      </c>
      <c r="AH22" s="56">
        <v>0.22643979057591601</v>
      </c>
      <c r="AI22" s="56">
        <v>0.22009735744089001</v>
      </c>
      <c r="AJ22" s="78">
        <v>0.21372291529875201</v>
      </c>
      <c r="AK22" s="56">
        <v>0.22638326585695001</v>
      </c>
      <c r="AL22" s="56">
        <v>0.22600000000000001</v>
      </c>
      <c r="AM22" s="56">
        <v>0.23386821440764799</v>
      </c>
      <c r="AN22" s="78">
        <v>0.22168840082360999</v>
      </c>
      <c r="AO22" s="56">
        <v>0.23978819969742801</v>
      </c>
      <c r="AP22" s="56">
        <v>0.23042168674698801</v>
      </c>
      <c r="AQ22" s="56">
        <v>0.229007633587786</v>
      </c>
      <c r="AR22" s="78">
        <v>0.238963531669866</v>
      </c>
      <c r="AS22" s="40" t="s">
        <v>1268</v>
      </c>
      <c r="AT22" s="56">
        <v>-0.22111111111111112</v>
      </c>
    </row>
    <row r="23" spans="1:46" ht="10.5">
      <c r="A23" s="6" t="s">
        <v>10</v>
      </c>
      <c r="B23" s="10">
        <v>3571</v>
      </c>
      <c r="C23" s="10">
        <v>3231</v>
      </c>
      <c r="D23" s="10">
        <v>4298</v>
      </c>
      <c r="E23" s="10">
        <v>5437</v>
      </c>
      <c r="F23" s="10">
        <v>5884</v>
      </c>
      <c r="G23" s="10">
        <v>5410</v>
      </c>
      <c r="H23" s="10">
        <v>7069</v>
      </c>
      <c r="I23" s="10">
        <v>8411</v>
      </c>
      <c r="J23" s="10">
        <v>9458</v>
      </c>
      <c r="K23" s="10">
        <v>8756</v>
      </c>
      <c r="M23" s="10">
        <v>1049</v>
      </c>
      <c r="N23" s="10">
        <v>1078</v>
      </c>
      <c r="O23" s="10">
        <v>1067</v>
      </c>
      <c r="P23" s="74">
        <v>1104</v>
      </c>
      <c r="Q23" s="10">
        <v>1081</v>
      </c>
      <c r="R23" s="10">
        <v>1321</v>
      </c>
      <c r="S23" s="10">
        <v>1412.0172940299999</v>
      </c>
      <c r="T23" s="74">
        <v>1622.9827059700001</v>
      </c>
      <c r="U23" s="10">
        <v>1374</v>
      </c>
      <c r="V23" s="10">
        <v>1680</v>
      </c>
      <c r="W23" s="10">
        <v>1341</v>
      </c>
      <c r="X23" s="74">
        <v>1489</v>
      </c>
      <c r="Y23" s="10">
        <v>1422</v>
      </c>
      <c r="Z23" s="10">
        <v>1027</v>
      </c>
      <c r="AA23" s="10">
        <v>1324</v>
      </c>
      <c r="AB23" s="74">
        <v>1637</v>
      </c>
      <c r="AC23" s="10">
        <v>1390</v>
      </c>
      <c r="AD23" s="10">
        <v>1693</v>
      </c>
      <c r="AE23" s="10">
        <v>1929</v>
      </c>
      <c r="AF23" s="74">
        <v>2057</v>
      </c>
      <c r="AG23" s="10">
        <v>2000</v>
      </c>
      <c r="AH23" s="10">
        <v>1773</v>
      </c>
      <c r="AI23" s="10">
        <v>2243</v>
      </c>
      <c r="AJ23" s="74">
        <v>2395</v>
      </c>
      <c r="AK23" s="10">
        <v>2293</v>
      </c>
      <c r="AL23" s="10">
        <v>2653</v>
      </c>
      <c r="AM23" s="10">
        <v>2244</v>
      </c>
      <c r="AN23" s="74">
        <v>2268</v>
      </c>
      <c r="AO23" s="10">
        <v>2010</v>
      </c>
      <c r="AP23" s="10">
        <v>2044</v>
      </c>
      <c r="AQ23" s="10">
        <v>2323</v>
      </c>
      <c r="AR23" s="74">
        <v>2379</v>
      </c>
      <c r="AS23" s="10">
        <v>2196</v>
      </c>
      <c r="AT23" s="10">
        <v>2103</v>
      </c>
    </row>
    <row r="24" spans="1:46" ht="13.5" customHeight="1">
      <c r="A24" s="434" t="s">
        <v>11</v>
      </c>
      <c r="B24" s="5">
        <v>3582</v>
      </c>
      <c r="C24" s="5">
        <v>3235</v>
      </c>
      <c r="D24" s="5">
        <v>4298</v>
      </c>
      <c r="E24" s="5">
        <v>5430</v>
      </c>
      <c r="F24" s="5">
        <v>5874</v>
      </c>
      <c r="G24" s="5">
        <v>5399</v>
      </c>
      <c r="H24" s="5">
        <v>7058</v>
      </c>
      <c r="I24" s="5">
        <v>8397</v>
      </c>
      <c r="J24" s="5">
        <v>9431</v>
      </c>
      <c r="K24" s="5">
        <v>8731</v>
      </c>
      <c r="M24" s="5">
        <v>1049</v>
      </c>
      <c r="N24" s="5">
        <v>1078</v>
      </c>
      <c r="O24" s="5">
        <v>1067</v>
      </c>
      <c r="P24" s="73">
        <v>1104</v>
      </c>
      <c r="Q24" s="5">
        <v>1079</v>
      </c>
      <c r="R24" s="5">
        <v>1319</v>
      </c>
      <c r="S24" s="5">
        <v>1410.0172940299999</v>
      </c>
      <c r="T24" s="73">
        <v>1621.9827059700001</v>
      </c>
      <c r="U24" s="5">
        <v>1372</v>
      </c>
      <c r="V24" s="5">
        <v>1678</v>
      </c>
      <c r="W24" s="5">
        <v>1339</v>
      </c>
      <c r="X24" s="73">
        <v>1485</v>
      </c>
      <c r="Y24" s="5">
        <v>1420</v>
      </c>
      <c r="Z24" s="5">
        <v>1026</v>
      </c>
      <c r="AA24" s="5">
        <v>1320</v>
      </c>
      <c r="AB24" s="73">
        <v>1633</v>
      </c>
      <c r="AC24" s="5">
        <v>1387</v>
      </c>
      <c r="AD24" s="5">
        <v>1691</v>
      </c>
      <c r="AE24" s="5">
        <v>1926</v>
      </c>
      <c r="AF24" s="73">
        <v>2054</v>
      </c>
      <c r="AG24" s="5">
        <v>1997</v>
      </c>
      <c r="AH24" s="5">
        <v>1770</v>
      </c>
      <c r="AI24" s="5">
        <v>2239</v>
      </c>
      <c r="AJ24" s="73">
        <v>2391</v>
      </c>
      <c r="AK24" s="5">
        <v>2290</v>
      </c>
      <c r="AL24" s="5">
        <v>2645</v>
      </c>
      <c r="AM24" s="5">
        <v>2235</v>
      </c>
      <c r="AN24" s="73">
        <v>2261</v>
      </c>
      <c r="AO24" s="5">
        <v>2008</v>
      </c>
      <c r="AP24" s="5">
        <v>2042</v>
      </c>
      <c r="AQ24" s="5">
        <v>2318</v>
      </c>
      <c r="AR24" s="73">
        <v>2363</v>
      </c>
      <c r="AS24" s="5">
        <v>2200</v>
      </c>
      <c r="AT24" s="5">
        <v>2098</v>
      </c>
    </row>
    <row r="25" spans="1:46">
      <c r="A25" s="434" t="s">
        <v>12</v>
      </c>
      <c r="B25" s="5">
        <v>-11</v>
      </c>
      <c r="C25" s="5">
        <v>-4</v>
      </c>
      <c r="D25" s="5">
        <v>0</v>
      </c>
      <c r="E25" s="5">
        <v>7</v>
      </c>
      <c r="F25" s="5">
        <v>10</v>
      </c>
      <c r="G25" s="58">
        <v>11</v>
      </c>
      <c r="H25" s="58">
        <v>11</v>
      </c>
      <c r="I25" s="58">
        <v>14</v>
      </c>
      <c r="J25" s="58">
        <v>27</v>
      </c>
      <c r="K25" s="58">
        <v>25</v>
      </c>
      <c r="M25" s="5">
        <v>0</v>
      </c>
      <c r="N25" s="5">
        <v>0</v>
      </c>
      <c r="O25" s="5">
        <v>0</v>
      </c>
      <c r="P25" s="73">
        <v>0</v>
      </c>
      <c r="Q25" s="5">
        <v>2</v>
      </c>
      <c r="R25" s="5">
        <v>2</v>
      </c>
      <c r="S25" s="5">
        <v>2</v>
      </c>
      <c r="T25" s="73">
        <v>1</v>
      </c>
      <c r="U25" s="5">
        <v>2</v>
      </c>
      <c r="V25" s="5">
        <v>2</v>
      </c>
      <c r="W25" s="5">
        <v>2</v>
      </c>
      <c r="X25" s="73">
        <v>4</v>
      </c>
      <c r="Y25" s="5">
        <v>2</v>
      </c>
      <c r="Z25" s="5">
        <v>1</v>
      </c>
      <c r="AA25" s="5">
        <v>4</v>
      </c>
      <c r="AB25" s="73">
        <v>4</v>
      </c>
      <c r="AC25" s="5">
        <v>3</v>
      </c>
      <c r="AD25" s="5">
        <v>2</v>
      </c>
      <c r="AE25" s="5">
        <v>3</v>
      </c>
      <c r="AF25" s="73">
        <v>3</v>
      </c>
      <c r="AG25" s="5">
        <v>3</v>
      </c>
      <c r="AH25" s="5">
        <v>3</v>
      </c>
      <c r="AI25" s="5">
        <v>4</v>
      </c>
      <c r="AJ25" s="73">
        <v>4</v>
      </c>
      <c r="AK25" s="5">
        <v>3</v>
      </c>
      <c r="AL25" s="5">
        <v>8</v>
      </c>
      <c r="AM25" s="5">
        <v>9</v>
      </c>
      <c r="AN25" s="73">
        <v>7</v>
      </c>
      <c r="AO25" s="5">
        <v>2</v>
      </c>
      <c r="AP25" s="5">
        <v>2</v>
      </c>
      <c r="AQ25" s="5">
        <v>5</v>
      </c>
      <c r="AR25" s="73">
        <v>16</v>
      </c>
      <c r="AS25" s="5">
        <v>-4</v>
      </c>
      <c r="AT25" s="5">
        <v>5</v>
      </c>
    </row>
    <row r="26" spans="1:46">
      <c r="A26" s="14"/>
      <c r="B26" s="5"/>
      <c r="C26" s="5"/>
      <c r="D26" s="5"/>
      <c r="E26" s="5"/>
      <c r="M26" s="5"/>
      <c r="N26" s="5"/>
      <c r="O26" s="5"/>
      <c r="P26" s="5"/>
      <c r="Q26" s="5"/>
      <c r="R26" s="5"/>
      <c r="S26" s="5"/>
      <c r="T26" s="5"/>
      <c r="U26" s="5"/>
      <c r="Y26" s="5"/>
      <c r="Z26" s="5"/>
      <c r="AA26" s="5"/>
      <c r="AB26" s="5"/>
      <c r="AC26" s="5"/>
      <c r="AD26" s="5"/>
      <c r="AE26" s="5"/>
      <c r="AG26" s="5"/>
      <c r="AH26" s="5"/>
      <c r="AI26" s="5"/>
      <c r="AK26" s="5"/>
      <c r="AL26" s="5"/>
      <c r="AM26" s="5"/>
      <c r="AO26" s="5"/>
      <c r="AP26" s="5"/>
      <c r="AQ26" s="5"/>
      <c r="AS26" s="5"/>
      <c r="AT26" s="5"/>
    </row>
    <row r="29" spans="1:46">
      <c r="I29" s="58"/>
      <c r="AG29" s="58"/>
      <c r="AH29" s="58"/>
      <c r="AI29" s="58"/>
      <c r="AJ29" s="58"/>
      <c r="AK29" s="58"/>
      <c r="AL29" s="58"/>
      <c r="AM29" s="58"/>
      <c r="AN29" s="58"/>
      <c r="AO29" s="58"/>
      <c r="AP29" s="58"/>
      <c r="AQ29" s="58"/>
      <c r="AR29" s="58"/>
      <c r="AS29" s="58"/>
      <c r="AT29" s="58"/>
    </row>
  </sheetData>
  <hyperlinks>
    <hyperlink ref="A2" location="'START PAGE'!A1" display="Back to start page" xr:uid="{00000000-0004-0000-0300-000000000000}"/>
  </hyperlinks>
  <pageMargins left="0.7" right="0.7" top="0.75" bottom="0.75" header="0.3" footer="0.3"/>
  <pageSetup paperSize="9" scale="44" orientation="landscape" r:id="rId1"/>
  <ignoredErrors>
    <ignoredError sqref="F3:G3"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6C6F-DB37-4F40-B68E-BE9A5A43914B}">
  <sheetPr codeName="Sheet12">
    <tabColor rgb="FFFFCD00"/>
    <pageSetUpPr fitToPage="1"/>
  </sheetPr>
  <dimension ref="A1:BA126"/>
  <sheetViews>
    <sheetView showGridLines="0" zoomScale="130" zoomScaleNormal="130" workbookViewId="0">
      <pane xSplit="1" ySplit="3" topLeftCell="AK23" activePane="bottomRight" state="frozen"/>
      <selection activeCell="C75" sqref="C75"/>
      <selection pane="topRight" activeCell="C75" sqref="C75"/>
      <selection pane="bottomLeft" activeCell="C75" sqref="C75"/>
      <selection pane="bottomRight" activeCell="AT36" sqref="AT36"/>
    </sheetView>
  </sheetViews>
  <sheetFormatPr defaultColWidth="9" defaultRowHeight="10"/>
  <cols>
    <col min="1" max="1" width="42.08203125" style="42" customWidth="1"/>
    <col min="2" max="7" width="7.58203125" style="42" bestFit="1" customWidth="1"/>
    <col min="8" max="10" width="8.08203125" style="42" bestFit="1" customWidth="1"/>
    <col min="11" max="11" width="7.58203125" style="42" bestFit="1" customWidth="1"/>
    <col min="12" max="12" width="6.08203125" style="42" customWidth="1"/>
    <col min="13" max="13" width="8.08203125" style="42" customWidth="1"/>
    <col min="14" max="15" width="5.08203125" style="42" customWidth="1"/>
    <col min="16" max="16" width="5.08203125" style="71" customWidth="1"/>
    <col min="17" max="19" width="5.08203125" style="42" customWidth="1"/>
    <col min="20" max="20" width="5.08203125" style="71" customWidth="1"/>
    <col min="21" max="23" width="5.08203125" style="42" customWidth="1"/>
    <col min="24" max="24" width="5.08203125" style="71" customWidth="1"/>
    <col min="25" max="27" width="5.08203125" style="42" customWidth="1"/>
    <col min="28" max="28" width="5.08203125" style="71" customWidth="1"/>
    <col min="29" max="31" width="5.08203125" style="42" customWidth="1"/>
    <col min="32" max="32" width="5.08203125" style="71" customWidth="1"/>
    <col min="33" max="33" width="5.58203125" style="42" customWidth="1"/>
    <col min="34" max="34" width="5.08203125" style="42" customWidth="1"/>
    <col min="35" max="35" width="5.5" style="42" customWidth="1"/>
    <col min="36" max="36" width="5.58203125" style="71" customWidth="1"/>
    <col min="37" max="39" width="5.5" style="42" customWidth="1"/>
    <col min="40" max="40" width="5.5" style="71" customWidth="1"/>
    <col min="41" max="43" width="5.5" style="42" customWidth="1"/>
    <col min="44" max="44" width="5.5" style="71" customWidth="1"/>
    <col min="45" max="46" width="5.5" style="42" customWidth="1"/>
    <col min="47" max="16384" width="9" style="42"/>
  </cols>
  <sheetData>
    <row r="1" spans="1:46" ht="16" thickBot="1">
      <c r="A1" s="59" t="s">
        <v>186</v>
      </c>
      <c r="B1" s="241" t="s">
        <v>222</v>
      </c>
      <c r="C1" s="241"/>
      <c r="D1" s="241"/>
      <c r="E1" s="242"/>
      <c r="F1" s="242"/>
      <c r="G1" s="242"/>
      <c r="H1" s="242"/>
      <c r="I1" s="574"/>
      <c r="J1" s="242"/>
      <c r="K1" s="241"/>
      <c r="M1" s="241" t="s">
        <v>221</v>
      </c>
      <c r="N1" s="242"/>
      <c r="O1" s="242"/>
      <c r="P1" s="243"/>
      <c r="Q1" s="241"/>
      <c r="R1" s="242"/>
      <c r="S1" s="242"/>
      <c r="T1" s="243"/>
      <c r="U1" s="241"/>
      <c r="V1" s="242"/>
      <c r="W1" s="242"/>
      <c r="X1" s="243"/>
      <c r="Y1" s="241"/>
      <c r="Z1" s="242"/>
      <c r="AA1" s="242"/>
      <c r="AB1" s="243"/>
      <c r="AC1" s="241"/>
      <c r="AD1" s="242"/>
      <c r="AE1" s="242"/>
      <c r="AF1" s="243"/>
      <c r="AG1" s="241"/>
      <c r="AH1" s="242"/>
      <c r="AI1" s="242"/>
      <c r="AJ1" s="243"/>
      <c r="AK1" s="241"/>
      <c r="AL1" s="242"/>
      <c r="AM1" s="242"/>
      <c r="AN1" s="243"/>
      <c r="AO1" s="241"/>
      <c r="AP1" s="242"/>
      <c r="AQ1" s="242"/>
      <c r="AR1" s="243"/>
      <c r="AS1" s="241"/>
      <c r="AT1" s="242"/>
    </row>
    <row r="2" spans="1:46" ht="11" thickTop="1" thickBot="1">
      <c r="A2" s="823" t="s">
        <v>198</v>
      </c>
      <c r="I2" s="575" t="s">
        <v>728</v>
      </c>
      <c r="J2" s="652" t="s">
        <v>959</v>
      </c>
      <c r="AG2" s="575" t="s">
        <v>728</v>
      </c>
      <c r="AK2" s="652" t="s">
        <v>959</v>
      </c>
    </row>
    <row r="3" spans="1:46" ht="11" thickTop="1">
      <c r="A3" s="244" t="s">
        <v>734</v>
      </c>
      <c r="B3" s="245">
        <v>2015</v>
      </c>
      <c r="C3" s="245">
        <v>2016</v>
      </c>
      <c r="D3" s="245">
        <v>2017</v>
      </c>
      <c r="E3" s="245">
        <v>2018</v>
      </c>
      <c r="F3" s="245" t="s">
        <v>211</v>
      </c>
      <c r="G3" s="245" t="s">
        <v>258</v>
      </c>
      <c r="H3" s="245">
        <v>2021</v>
      </c>
      <c r="I3" s="245">
        <v>2022</v>
      </c>
      <c r="J3" s="245">
        <v>2023</v>
      </c>
      <c r="K3" s="245">
        <v>2024</v>
      </c>
      <c r="M3" s="245" t="s">
        <v>769</v>
      </c>
      <c r="N3" s="245" t="s">
        <v>770</v>
      </c>
      <c r="O3" s="245" t="s">
        <v>771</v>
      </c>
      <c r="P3" s="246" t="s">
        <v>772</v>
      </c>
      <c r="Q3" s="245" t="s">
        <v>764</v>
      </c>
      <c r="R3" s="245" t="s">
        <v>765</v>
      </c>
      <c r="S3" s="245" t="s">
        <v>766</v>
      </c>
      <c r="T3" s="246" t="s">
        <v>767</v>
      </c>
      <c r="U3" s="245" t="s">
        <v>768</v>
      </c>
      <c r="V3" s="245" t="s">
        <v>730</v>
      </c>
      <c r="W3" s="245" t="s">
        <v>731</v>
      </c>
      <c r="X3" s="246" t="s">
        <v>732</v>
      </c>
      <c r="Y3" s="245" t="s">
        <v>733</v>
      </c>
      <c r="Z3" s="245" t="s">
        <v>626</v>
      </c>
      <c r="AA3" s="245" t="s">
        <v>620</v>
      </c>
      <c r="AB3" s="246" t="s">
        <v>619</v>
      </c>
      <c r="AC3" s="245" t="s">
        <v>614</v>
      </c>
      <c r="AD3" s="245" t="s">
        <v>604</v>
      </c>
      <c r="AE3" s="245" t="s">
        <v>589</v>
      </c>
      <c r="AF3" s="246" t="s">
        <v>587</v>
      </c>
      <c r="AG3" s="245" t="s">
        <v>504</v>
      </c>
      <c r="AH3" s="245" t="s">
        <v>551</v>
      </c>
      <c r="AI3" s="245" t="s">
        <v>532</v>
      </c>
      <c r="AJ3" s="246" t="s">
        <v>530</v>
      </c>
      <c r="AK3" s="245" t="s">
        <v>803</v>
      </c>
      <c r="AL3" s="245" t="s">
        <v>812</v>
      </c>
      <c r="AM3" s="245" t="s">
        <v>816</v>
      </c>
      <c r="AN3" s="246" t="s">
        <v>835</v>
      </c>
      <c r="AO3" s="245" t="s">
        <v>872</v>
      </c>
      <c r="AP3" s="245" t="s">
        <v>986</v>
      </c>
      <c r="AQ3" s="245" t="s">
        <v>1016</v>
      </c>
      <c r="AR3" s="246" t="s">
        <v>1039</v>
      </c>
      <c r="AS3" s="245" t="s">
        <v>1076</v>
      </c>
      <c r="AT3" s="245" t="s">
        <v>1285</v>
      </c>
    </row>
    <row r="4" spans="1:46">
      <c r="A4" s="250" t="s">
        <v>73</v>
      </c>
      <c r="B4" s="251">
        <v>19213</v>
      </c>
      <c r="C4" s="251">
        <v>19413</v>
      </c>
      <c r="D4" s="251">
        <v>24574.266098877102</v>
      </c>
      <c r="E4" s="251">
        <v>29695</v>
      </c>
      <c r="F4" s="251">
        <v>28509</v>
      </c>
      <c r="G4" s="251">
        <v>27252</v>
      </c>
      <c r="H4" s="251">
        <f>SUM(AC4:AF4)</f>
        <v>34513</v>
      </c>
      <c r="I4" s="551">
        <v>42691</v>
      </c>
      <c r="J4" s="251">
        <f>46708-31</f>
        <v>46677</v>
      </c>
      <c r="K4" s="251">
        <v>47423</v>
      </c>
      <c r="M4" s="251">
        <v>6200.2283143322002</v>
      </c>
      <c r="N4" s="251">
        <v>6323.0377845449002</v>
      </c>
      <c r="O4" s="251">
        <v>6263</v>
      </c>
      <c r="P4" s="252">
        <v>5788</v>
      </c>
      <c r="Q4" s="251">
        <v>7442</v>
      </c>
      <c r="R4" s="251">
        <v>7947</v>
      </c>
      <c r="S4" s="251">
        <v>7190</v>
      </c>
      <c r="T4" s="252">
        <v>7116</v>
      </c>
      <c r="U4" s="251">
        <v>7248</v>
      </c>
      <c r="V4" s="251">
        <v>7677</v>
      </c>
      <c r="W4" s="251">
        <v>6874</v>
      </c>
      <c r="X4" s="252">
        <v>6710</v>
      </c>
      <c r="Y4" s="251">
        <v>7101</v>
      </c>
      <c r="Z4" s="251">
        <v>6129</v>
      </c>
      <c r="AA4" s="251">
        <v>7068</v>
      </c>
      <c r="AB4" s="252">
        <v>6954</v>
      </c>
      <c r="AC4" s="251">
        <v>7991</v>
      </c>
      <c r="AD4" s="251">
        <v>8387</v>
      </c>
      <c r="AE4" s="251">
        <v>9336</v>
      </c>
      <c r="AF4" s="252">
        <v>8799</v>
      </c>
      <c r="AG4" s="551">
        <v>10840</v>
      </c>
      <c r="AH4" s="551">
        <v>10897</v>
      </c>
      <c r="AI4" s="551">
        <v>9791</v>
      </c>
      <c r="AJ4" s="552">
        <v>11163</v>
      </c>
      <c r="AK4" s="251">
        <v>11539</v>
      </c>
      <c r="AL4" s="251">
        <v>12276</v>
      </c>
      <c r="AM4" s="251">
        <v>11311</v>
      </c>
      <c r="AN4" s="252">
        <v>11551</v>
      </c>
      <c r="AO4" s="251">
        <v>11025</v>
      </c>
      <c r="AP4" s="251">
        <v>12388</v>
      </c>
      <c r="AQ4" s="251">
        <v>11830</v>
      </c>
      <c r="AR4" s="252">
        <v>12180</v>
      </c>
      <c r="AS4" s="251">
        <v>12377</v>
      </c>
      <c r="AT4" s="251">
        <v>11506</v>
      </c>
    </row>
    <row r="5" spans="1:46">
      <c r="A5" s="253" t="s">
        <v>60</v>
      </c>
      <c r="B5" s="254">
        <v>7776</v>
      </c>
      <c r="C5" s="254">
        <v>8506</v>
      </c>
      <c r="D5" s="254">
        <v>12246</v>
      </c>
      <c r="E5" s="254">
        <v>15244</v>
      </c>
      <c r="F5" s="254">
        <v>12355</v>
      </c>
      <c r="G5" s="254">
        <v>11326</v>
      </c>
      <c r="H5" s="254">
        <f t="shared" ref="H5:H23" si="0">SUM(AC5:AF5)</f>
        <v>16403</v>
      </c>
      <c r="I5" s="553">
        <v>18314</v>
      </c>
      <c r="J5" s="648">
        <f>20218-31</f>
        <v>20187</v>
      </c>
      <c r="K5" s="254">
        <v>20102</v>
      </c>
      <c r="M5" s="254">
        <v>3147</v>
      </c>
      <c r="N5" s="254">
        <v>3142</v>
      </c>
      <c r="O5" s="254">
        <v>3281</v>
      </c>
      <c r="P5" s="255">
        <v>2676</v>
      </c>
      <c r="Q5" s="254">
        <v>4054</v>
      </c>
      <c r="R5" s="254">
        <v>4234</v>
      </c>
      <c r="S5" s="254">
        <v>3601</v>
      </c>
      <c r="T5" s="255">
        <v>3355</v>
      </c>
      <c r="U5" s="254">
        <v>3442</v>
      </c>
      <c r="V5" s="254">
        <v>3580</v>
      </c>
      <c r="W5" s="254">
        <v>2727</v>
      </c>
      <c r="X5" s="255">
        <v>2606</v>
      </c>
      <c r="Y5" s="254">
        <v>2850</v>
      </c>
      <c r="Z5" s="254">
        <v>2410</v>
      </c>
      <c r="AA5" s="254">
        <v>3099</v>
      </c>
      <c r="AB5" s="255">
        <v>2967</v>
      </c>
      <c r="AC5" s="254">
        <v>4028</v>
      </c>
      <c r="AD5" s="254">
        <v>4031</v>
      </c>
      <c r="AE5" s="254">
        <v>4532</v>
      </c>
      <c r="AF5" s="255">
        <v>3812</v>
      </c>
      <c r="AG5" s="553">
        <v>5537</v>
      </c>
      <c r="AH5" s="553">
        <v>5012</v>
      </c>
      <c r="AI5" s="553">
        <v>3702</v>
      </c>
      <c r="AJ5" s="554">
        <v>4063</v>
      </c>
      <c r="AK5" s="648">
        <v>5151</v>
      </c>
      <c r="AL5" s="648">
        <v>5404</v>
      </c>
      <c r="AM5" s="648">
        <v>4739</v>
      </c>
      <c r="AN5" s="649">
        <v>4923.92</v>
      </c>
      <c r="AO5" s="254">
        <v>4404</v>
      </c>
      <c r="AP5" s="254">
        <v>5406.3778785867999</v>
      </c>
      <c r="AQ5" s="254">
        <v>5169.6221214132001</v>
      </c>
      <c r="AR5" s="836">
        <v>5122</v>
      </c>
      <c r="AS5" s="254">
        <v>5722</v>
      </c>
      <c r="AT5" s="254">
        <v>5009</v>
      </c>
    </row>
    <row r="6" spans="1:46">
      <c r="A6" s="253" t="s">
        <v>72</v>
      </c>
      <c r="B6" s="256">
        <v>11437</v>
      </c>
      <c r="C6" s="256">
        <v>10907</v>
      </c>
      <c r="D6" s="256">
        <v>12328</v>
      </c>
      <c r="E6" s="256">
        <v>14451</v>
      </c>
      <c r="F6" s="256">
        <v>16154</v>
      </c>
      <c r="G6" s="256">
        <v>15926</v>
      </c>
      <c r="H6" s="256">
        <f t="shared" si="0"/>
        <v>18110</v>
      </c>
      <c r="I6" s="555">
        <v>24377</v>
      </c>
      <c r="J6" s="650">
        <v>26490</v>
      </c>
      <c r="K6" s="256">
        <v>27321</v>
      </c>
      <c r="M6" s="256">
        <v>3053</v>
      </c>
      <c r="N6" s="256">
        <v>3181</v>
      </c>
      <c r="O6" s="256">
        <v>2982</v>
      </c>
      <c r="P6" s="257">
        <v>3112</v>
      </c>
      <c r="Q6" s="256">
        <v>3388</v>
      </c>
      <c r="R6" s="256">
        <v>3713</v>
      </c>
      <c r="S6" s="256">
        <v>3589</v>
      </c>
      <c r="T6" s="257">
        <v>3761</v>
      </c>
      <c r="U6" s="256">
        <v>3806</v>
      </c>
      <c r="V6" s="256">
        <v>4097</v>
      </c>
      <c r="W6" s="256">
        <v>4147</v>
      </c>
      <c r="X6" s="257">
        <v>4105</v>
      </c>
      <c r="Y6" s="256">
        <v>4251</v>
      </c>
      <c r="Z6" s="256">
        <v>3719</v>
      </c>
      <c r="AA6" s="256">
        <v>3969</v>
      </c>
      <c r="AB6" s="257">
        <v>3987</v>
      </c>
      <c r="AC6" s="256">
        <v>3963</v>
      </c>
      <c r="AD6" s="256">
        <v>4356</v>
      </c>
      <c r="AE6" s="256">
        <v>4804</v>
      </c>
      <c r="AF6" s="257">
        <v>4987</v>
      </c>
      <c r="AG6" s="555">
        <v>5303</v>
      </c>
      <c r="AH6" s="555">
        <v>5885</v>
      </c>
      <c r="AI6" s="555">
        <v>6089</v>
      </c>
      <c r="AJ6" s="556">
        <v>7100</v>
      </c>
      <c r="AK6" s="650">
        <v>6388</v>
      </c>
      <c r="AL6" s="650">
        <v>6872</v>
      </c>
      <c r="AM6" s="650">
        <v>6572</v>
      </c>
      <c r="AN6" s="651">
        <v>6627.08</v>
      </c>
      <c r="AO6" s="256">
        <v>6621</v>
      </c>
      <c r="AP6" s="256">
        <v>6981.6221214132001</v>
      </c>
      <c r="AQ6" s="256">
        <v>6660.3778785867999</v>
      </c>
      <c r="AR6" s="837">
        <v>7058</v>
      </c>
      <c r="AS6" s="256">
        <v>6655</v>
      </c>
      <c r="AT6" s="256">
        <v>6497</v>
      </c>
    </row>
    <row r="7" spans="1:46">
      <c r="A7" s="250" t="s">
        <v>71</v>
      </c>
      <c r="B7" s="251">
        <v>8109</v>
      </c>
      <c r="C7" s="251">
        <v>7947</v>
      </c>
      <c r="D7" s="251">
        <v>9047.0275727111002</v>
      </c>
      <c r="E7" s="251">
        <v>9611</v>
      </c>
      <c r="F7" s="251">
        <v>10768</v>
      </c>
      <c r="G7" s="251">
        <v>9185</v>
      </c>
      <c r="H7" s="251">
        <f t="shared" si="0"/>
        <v>11025</v>
      </c>
      <c r="I7" s="551">
        <v>10670</v>
      </c>
      <c r="J7" s="251">
        <f>12466-402</f>
        <v>12064</v>
      </c>
      <c r="K7" s="251">
        <v>14663</v>
      </c>
      <c r="M7" s="251">
        <v>2341.2545534702999</v>
      </c>
      <c r="N7" s="251">
        <v>2269.6157532337002</v>
      </c>
      <c r="O7" s="251">
        <v>2239.1572660071001</v>
      </c>
      <c r="P7" s="252">
        <v>2197</v>
      </c>
      <c r="Q7" s="251">
        <v>2550</v>
      </c>
      <c r="R7" s="251">
        <v>2470</v>
      </c>
      <c r="S7" s="251">
        <v>2285</v>
      </c>
      <c r="T7" s="252">
        <v>2306</v>
      </c>
      <c r="U7" s="251">
        <v>2760</v>
      </c>
      <c r="V7" s="251">
        <v>2826</v>
      </c>
      <c r="W7" s="251">
        <v>2665</v>
      </c>
      <c r="X7" s="252">
        <v>2517</v>
      </c>
      <c r="Y7" s="251">
        <v>2619</v>
      </c>
      <c r="Z7" s="251">
        <v>1980</v>
      </c>
      <c r="AA7" s="251">
        <v>2249</v>
      </c>
      <c r="AB7" s="252">
        <v>2337</v>
      </c>
      <c r="AC7" s="251">
        <v>2674</v>
      </c>
      <c r="AD7" s="251">
        <v>2678</v>
      </c>
      <c r="AE7" s="251">
        <v>2866</v>
      </c>
      <c r="AF7" s="252">
        <v>2807</v>
      </c>
      <c r="AG7" s="551">
        <v>2970</v>
      </c>
      <c r="AH7" s="551">
        <v>2495</v>
      </c>
      <c r="AI7" s="551">
        <v>2502</v>
      </c>
      <c r="AJ7" s="552">
        <v>2703</v>
      </c>
      <c r="AK7" s="251">
        <v>3133</v>
      </c>
      <c r="AL7" s="251">
        <v>3180</v>
      </c>
      <c r="AM7" s="251">
        <v>2924</v>
      </c>
      <c r="AN7" s="252">
        <v>2827</v>
      </c>
      <c r="AO7" s="251">
        <v>3122</v>
      </c>
      <c r="AP7" s="251">
        <v>3947</v>
      </c>
      <c r="AQ7" s="251">
        <v>3656</v>
      </c>
      <c r="AR7" s="252">
        <v>3938</v>
      </c>
      <c r="AS7" s="251">
        <v>4187</v>
      </c>
      <c r="AT7" s="251">
        <v>3743</v>
      </c>
    </row>
    <row r="8" spans="1:46">
      <c r="A8" s="250" t="s">
        <v>110</v>
      </c>
      <c r="B8" s="251">
        <v>229</v>
      </c>
      <c r="C8" s="251">
        <v>274</v>
      </c>
      <c r="D8" s="251">
        <v>210</v>
      </c>
      <c r="E8" s="251">
        <v>94</v>
      </c>
      <c r="F8" s="251">
        <v>215</v>
      </c>
      <c r="G8" s="251">
        <v>142</v>
      </c>
      <c r="H8" s="251">
        <f t="shared" si="0"/>
        <v>110</v>
      </c>
      <c r="I8" s="573">
        <v>-139</v>
      </c>
      <c r="J8" s="251">
        <v>158</v>
      </c>
      <c r="K8" s="251">
        <v>127</v>
      </c>
      <c r="M8" s="251">
        <v>-21</v>
      </c>
      <c r="N8" s="251">
        <v>68.861974440200356</v>
      </c>
      <c r="O8" s="251">
        <v>89</v>
      </c>
      <c r="P8" s="252">
        <v>73</v>
      </c>
      <c r="Q8" s="251">
        <v>44</v>
      </c>
      <c r="R8" s="251">
        <v>66</v>
      </c>
      <c r="S8" s="251">
        <v>-62</v>
      </c>
      <c r="T8" s="252">
        <v>46</v>
      </c>
      <c r="U8" s="251">
        <v>55</v>
      </c>
      <c r="V8" s="251">
        <v>50</v>
      </c>
      <c r="W8" s="251">
        <v>61</v>
      </c>
      <c r="X8" s="252">
        <v>49</v>
      </c>
      <c r="Y8" s="251">
        <v>52</v>
      </c>
      <c r="Z8" s="251">
        <v>-4</v>
      </c>
      <c r="AA8" s="251">
        <v>56</v>
      </c>
      <c r="AB8" s="252">
        <v>38</v>
      </c>
      <c r="AC8" s="251">
        <v>25</v>
      </c>
      <c r="AD8" s="251">
        <v>5</v>
      </c>
      <c r="AE8" s="251">
        <v>43</v>
      </c>
      <c r="AF8" s="252">
        <v>37</v>
      </c>
      <c r="AG8" s="551">
        <v>8</v>
      </c>
      <c r="AH8" s="551">
        <v>-15</v>
      </c>
      <c r="AI8" s="551">
        <v>29</v>
      </c>
      <c r="AJ8" s="552">
        <v>-161</v>
      </c>
      <c r="AK8" s="251">
        <v>43</v>
      </c>
      <c r="AL8" s="251">
        <v>-20</v>
      </c>
      <c r="AM8" s="251">
        <v>125</v>
      </c>
      <c r="AN8" s="252">
        <v>10</v>
      </c>
      <c r="AO8" s="251">
        <v>15</v>
      </c>
      <c r="AP8" s="251">
        <v>14</v>
      </c>
      <c r="AQ8" s="251">
        <v>34</v>
      </c>
      <c r="AR8" s="252">
        <v>64</v>
      </c>
      <c r="AS8" s="251">
        <v>22</v>
      </c>
      <c r="AT8" s="251">
        <v>27</v>
      </c>
    </row>
    <row r="9" spans="1:46" ht="10.5">
      <c r="A9" s="258" t="s">
        <v>35</v>
      </c>
      <c r="B9" s="259">
        <v>27551</v>
      </c>
      <c r="C9" s="259">
        <v>27634</v>
      </c>
      <c r="D9" s="259">
        <v>33831</v>
      </c>
      <c r="E9" s="259">
        <v>39400</v>
      </c>
      <c r="F9" s="259">
        <v>39492</v>
      </c>
      <c r="G9" s="259">
        <v>36579</v>
      </c>
      <c r="H9" s="259">
        <f t="shared" si="0"/>
        <v>45648</v>
      </c>
      <c r="I9" s="259">
        <v>53222</v>
      </c>
      <c r="J9" s="259">
        <v>58899</v>
      </c>
      <c r="K9" s="259">
        <v>62213</v>
      </c>
      <c r="L9" s="426"/>
      <c r="M9" s="259">
        <v>8520</v>
      </c>
      <c r="N9" s="259">
        <v>8661.5155122188007</v>
      </c>
      <c r="O9" s="259">
        <v>8591.1572660070997</v>
      </c>
      <c r="P9" s="260">
        <v>8058</v>
      </c>
      <c r="Q9" s="259">
        <v>10036</v>
      </c>
      <c r="R9" s="259">
        <v>10483</v>
      </c>
      <c r="S9" s="259">
        <v>9413</v>
      </c>
      <c r="T9" s="260">
        <v>9468</v>
      </c>
      <c r="U9" s="259">
        <v>10063</v>
      </c>
      <c r="V9" s="259">
        <v>10553</v>
      </c>
      <c r="W9" s="259">
        <v>9600</v>
      </c>
      <c r="X9" s="260">
        <v>9276</v>
      </c>
      <c r="Y9" s="259">
        <v>9772</v>
      </c>
      <c r="Z9" s="259">
        <v>8105</v>
      </c>
      <c r="AA9" s="259">
        <v>9373</v>
      </c>
      <c r="AB9" s="260">
        <v>9329</v>
      </c>
      <c r="AC9" s="259">
        <v>10690</v>
      </c>
      <c r="AD9" s="259">
        <v>11070</v>
      </c>
      <c r="AE9" s="259">
        <v>12245</v>
      </c>
      <c r="AF9" s="260">
        <v>11643</v>
      </c>
      <c r="AG9" s="557">
        <v>13818</v>
      </c>
      <c r="AH9" s="557">
        <v>13377</v>
      </c>
      <c r="AI9" s="557">
        <v>12322</v>
      </c>
      <c r="AJ9" s="558">
        <v>13705</v>
      </c>
      <c r="AK9" s="259">
        <v>14715</v>
      </c>
      <c r="AL9" s="259">
        <v>15436</v>
      </c>
      <c r="AM9" s="259">
        <v>14360</v>
      </c>
      <c r="AN9" s="260">
        <v>14388</v>
      </c>
      <c r="AO9" s="259">
        <v>14162</v>
      </c>
      <c r="AP9" s="259">
        <v>16349</v>
      </c>
      <c r="AQ9" s="259">
        <v>15520</v>
      </c>
      <c r="AR9" s="260">
        <v>16182</v>
      </c>
      <c r="AS9" s="259">
        <v>16586</v>
      </c>
      <c r="AT9" s="259">
        <v>15276</v>
      </c>
    </row>
    <row r="10" spans="1:46" ht="10.5">
      <c r="A10" s="244"/>
      <c r="B10" s="261"/>
      <c r="C10" s="261"/>
      <c r="D10" s="261"/>
      <c r="E10" s="261"/>
      <c r="F10" s="261"/>
      <c r="G10" s="261"/>
      <c r="H10" s="261"/>
      <c r="I10" s="261"/>
      <c r="J10" s="261"/>
      <c r="K10" s="261"/>
      <c r="M10" s="261"/>
      <c r="N10" s="261"/>
      <c r="O10" s="261"/>
      <c r="P10" s="262"/>
      <c r="Q10" s="261"/>
      <c r="R10" s="261"/>
      <c r="S10" s="261"/>
      <c r="T10" s="262"/>
      <c r="U10" s="261"/>
      <c r="V10" s="261"/>
      <c r="W10" s="261"/>
      <c r="X10" s="262"/>
      <c r="Y10" s="261"/>
      <c r="Z10" s="261"/>
      <c r="AA10" s="261"/>
      <c r="AB10" s="262"/>
      <c r="AC10" s="261"/>
      <c r="AD10" s="261"/>
      <c r="AE10" s="261"/>
      <c r="AF10" s="645"/>
      <c r="AG10" s="644"/>
      <c r="AH10" s="644"/>
      <c r="AI10" s="261"/>
      <c r="AJ10" s="645"/>
      <c r="AK10" s="261"/>
      <c r="AL10" s="644"/>
      <c r="AM10" s="261"/>
      <c r="AN10" s="645"/>
      <c r="AO10" s="261"/>
      <c r="AP10" s="261"/>
      <c r="AQ10" s="261"/>
      <c r="AR10" s="645"/>
      <c r="AS10" s="261"/>
      <c r="AT10" s="261"/>
    </row>
    <row r="11" spans="1:46" ht="10.5">
      <c r="A11" s="244"/>
      <c r="B11" s="261"/>
      <c r="C11" s="261"/>
      <c r="D11" s="261"/>
      <c r="E11" s="261"/>
      <c r="F11" s="261"/>
      <c r="G11" s="261"/>
      <c r="H11" s="261"/>
      <c r="I11" s="261"/>
      <c r="J11" s="261"/>
      <c r="K11" s="261"/>
      <c r="M11" s="261"/>
      <c r="N11" s="261"/>
      <c r="O11" s="261"/>
      <c r="P11" s="262"/>
      <c r="Q11" s="261"/>
      <c r="R11" s="261"/>
      <c r="S11" s="261"/>
      <c r="T11" s="262"/>
      <c r="U11" s="261"/>
      <c r="V11" s="261"/>
      <c r="W11" s="261"/>
      <c r="X11" s="262"/>
      <c r="Y11" s="261"/>
      <c r="Z11" s="261"/>
      <c r="AA11" s="261"/>
      <c r="AB11" s="262"/>
      <c r="AC11" s="261"/>
      <c r="AD11" s="261"/>
      <c r="AE11" s="644"/>
      <c r="AF11" s="645"/>
      <c r="AG11" s="644"/>
      <c r="AH11" s="644"/>
      <c r="AI11" s="644"/>
      <c r="AJ11" s="645"/>
      <c r="AK11" s="251"/>
      <c r="AL11" s="644"/>
      <c r="AM11" s="644"/>
      <c r="AN11" s="645"/>
      <c r="AO11" s="261"/>
      <c r="AP11" s="261"/>
      <c r="AQ11" s="261"/>
      <c r="AR11" s="645"/>
      <c r="AS11" s="261"/>
      <c r="AT11" s="261"/>
    </row>
    <row r="12" spans="1:46" ht="10.5">
      <c r="A12" s="589" t="s">
        <v>946</v>
      </c>
      <c r="B12" s="248"/>
      <c r="C12" s="248"/>
      <c r="D12" s="248"/>
      <c r="E12" s="248"/>
      <c r="F12" s="248"/>
      <c r="G12" s="248"/>
      <c r="H12" s="248"/>
      <c r="I12" s="248"/>
      <c r="J12" s="248"/>
      <c r="K12" s="248"/>
      <c r="M12" s="248"/>
      <c r="N12" s="248"/>
      <c r="O12" s="248"/>
      <c r="P12" s="249"/>
      <c r="Q12" s="248"/>
      <c r="R12" s="248"/>
      <c r="S12" s="248"/>
      <c r="T12" s="249"/>
      <c r="U12" s="248"/>
      <c r="V12" s="248"/>
      <c r="W12" s="248"/>
      <c r="X12" s="249"/>
      <c r="Y12" s="248"/>
      <c r="Z12" s="248"/>
      <c r="AA12" s="248"/>
      <c r="AB12" s="249"/>
      <c r="AC12" s="248"/>
      <c r="AD12" s="248"/>
      <c r="AE12" s="248"/>
      <c r="AF12" s="249"/>
      <c r="AG12" s="248"/>
      <c r="AH12" s="248"/>
      <c r="AI12" s="248"/>
      <c r="AJ12" s="249"/>
      <c r="AK12" s="248"/>
      <c r="AL12" s="248"/>
      <c r="AM12" s="248"/>
      <c r="AN12" s="249"/>
      <c r="AO12" s="248"/>
      <c r="AP12" s="248"/>
      <c r="AQ12" s="248"/>
      <c r="AR12" s="249"/>
      <c r="AS12" s="248"/>
      <c r="AT12" s="248"/>
    </row>
    <row r="13" spans="1:46" ht="10.5">
      <c r="A13" s="250" t="s">
        <v>73</v>
      </c>
      <c r="B13" s="261"/>
      <c r="C13" s="261"/>
      <c r="D13" s="261"/>
      <c r="E13" s="261"/>
      <c r="F13" s="261"/>
      <c r="G13" s="261"/>
      <c r="H13" s="261"/>
      <c r="I13" s="261"/>
      <c r="J13" s="261"/>
      <c r="K13" s="261"/>
      <c r="M13" s="261"/>
      <c r="N13" s="261"/>
      <c r="O13" s="261"/>
      <c r="P13" s="262"/>
      <c r="Q13" s="261"/>
      <c r="R13" s="261"/>
      <c r="S13" s="261"/>
      <c r="T13" s="262"/>
      <c r="U13" s="261"/>
      <c r="V13" s="261"/>
      <c r="W13" s="261"/>
      <c r="X13" s="262"/>
      <c r="Y13" s="261"/>
      <c r="Z13" s="261"/>
      <c r="AA13" s="261"/>
      <c r="AB13" s="262"/>
      <c r="AC13" s="261"/>
      <c r="AD13" s="261"/>
      <c r="AE13" s="636">
        <v>3</v>
      </c>
      <c r="AF13" s="646"/>
      <c r="AG13" s="636"/>
      <c r="AH13" s="636">
        <v>3</v>
      </c>
      <c r="AI13" s="636"/>
      <c r="AJ13" s="646">
        <v>11</v>
      </c>
      <c r="AK13" s="636"/>
      <c r="AL13" s="636"/>
      <c r="AM13" s="636"/>
      <c r="AN13" s="262"/>
      <c r="AO13" s="265"/>
      <c r="AP13" s="261"/>
      <c r="AQ13" s="261"/>
      <c r="AR13" s="262"/>
      <c r="AS13" s="265"/>
      <c r="AT13" s="261"/>
    </row>
    <row r="14" spans="1:46" ht="10.5">
      <c r="A14" s="250" t="s">
        <v>71</v>
      </c>
      <c r="B14" s="261"/>
      <c r="C14" s="261"/>
      <c r="D14" s="261"/>
      <c r="E14" s="261"/>
      <c r="F14" s="261"/>
      <c r="G14" s="261"/>
      <c r="H14" s="261"/>
      <c r="I14" s="261"/>
      <c r="J14" s="261"/>
      <c r="K14" s="261"/>
      <c r="M14" s="261"/>
      <c r="N14" s="261"/>
      <c r="O14" s="261"/>
      <c r="P14" s="262"/>
      <c r="Q14" s="261"/>
      <c r="R14" s="261"/>
      <c r="S14" s="261"/>
      <c r="T14" s="262"/>
      <c r="U14" s="261"/>
      <c r="V14" s="261"/>
      <c r="W14" s="261"/>
      <c r="X14" s="262"/>
      <c r="Y14" s="261"/>
      <c r="Z14" s="261"/>
      <c r="AA14" s="261"/>
      <c r="AB14" s="262"/>
      <c r="AC14" s="261"/>
      <c r="AD14" s="261"/>
      <c r="AE14" s="636">
        <v>7.3</v>
      </c>
      <c r="AF14" s="646"/>
      <c r="AG14" s="636"/>
      <c r="AH14" s="636"/>
      <c r="AI14" s="636"/>
      <c r="AJ14" s="646">
        <v>1</v>
      </c>
      <c r="AK14" s="636">
        <v>0</v>
      </c>
      <c r="AL14" s="636"/>
      <c r="AM14" s="636"/>
      <c r="AN14" s="262"/>
      <c r="AO14" s="251"/>
      <c r="AP14" s="261"/>
      <c r="AQ14" s="261"/>
      <c r="AR14" s="262"/>
      <c r="AS14" s="251"/>
      <c r="AT14" s="261"/>
    </row>
    <row r="15" spans="1:46" ht="10.5">
      <c r="A15" s="250" t="s">
        <v>245</v>
      </c>
      <c r="B15" s="261"/>
      <c r="C15" s="261"/>
      <c r="D15" s="261"/>
      <c r="E15" s="261"/>
      <c r="F15" s="261"/>
      <c r="G15" s="261"/>
      <c r="H15" s="261"/>
      <c r="I15" s="261"/>
      <c r="J15" s="261"/>
      <c r="K15" s="261"/>
      <c r="M15" s="261"/>
      <c r="N15" s="261"/>
      <c r="O15" s="261"/>
      <c r="P15" s="262"/>
      <c r="Q15" s="261"/>
      <c r="R15" s="261"/>
      <c r="S15" s="261"/>
      <c r="T15" s="262"/>
      <c r="U15" s="261"/>
      <c r="V15" s="261"/>
      <c r="W15" s="261"/>
      <c r="X15" s="262"/>
      <c r="Y15" s="261"/>
      <c r="Z15" s="261"/>
      <c r="AA15" s="261"/>
      <c r="AB15" s="262"/>
      <c r="AC15" s="261"/>
      <c r="AD15" s="261"/>
      <c r="AE15" s="636">
        <v>3.5</v>
      </c>
      <c r="AF15" s="646"/>
      <c r="AG15" s="636"/>
      <c r="AH15" s="636">
        <v>2.5</v>
      </c>
      <c r="AI15" s="636"/>
      <c r="AJ15" s="646">
        <v>9</v>
      </c>
      <c r="AK15" s="636">
        <v>0</v>
      </c>
      <c r="AL15" s="636"/>
      <c r="AM15" s="636"/>
      <c r="AN15" s="262"/>
      <c r="AO15" s="251"/>
      <c r="AP15" s="261"/>
      <c r="AQ15" s="261"/>
      <c r="AR15" s="262"/>
      <c r="AS15" s="251"/>
      <c r="AT15" s="261"/>
    </row>
    <row r="16" spans="1:46" ht="10.5">
      <c r="A16" s="244"/>
      <c r="B16" s="261"/>
      <c r="C16" s="261"/>
      <c r="D16" s="261"/>
      <c r="E16" s="261"/>
      <c r="F16" s="261"/>
      <c r="G16" s="261"/>
      <c r="H16" s="261"/>
      <c r="I16" s="261"/>
      <c r="J16" s="261"/>
      <c r="K16" s="261"/>
      <c r="M16" s="261"/>
      <c r="N16" s="261"/>
      <c r="O16" s="261"/>
      <c r="P16" s="262"/>
      <c r="Q16" s="261"/>
      <c r="R16" s="261"/>
      <c r="S16" s="261"/>
      <c r="T16" s="262"/>
      <c r="U16" s="261"/>
      <c r="V16" s="261"/>
      <c r="W16" s="261"/>
      <c r="X16" s="262"/>
      <c r="Y16" s="261"/>
      <c r="Z16" s="261"/>
      <c r="AA16" s="261"/>
      <c r="AB16" s="262"/>
      <c r="AC16" s="261"/>
      <c r="AD16" s="261"/>
      <c r="AE16" s="261"/>
      <c r="AF16" s="262"/>
      <c r="AG16" s="261"/>
      <c r="AH16" s="261"/>
      <c r="AI16" s="261"/>
      <c r="AJ16" s="262"/>
      <c r="AK16" s="261"/>
      <c r="AL16" s="261"/>
      <c r="AM16" s="261"/>
      <c r="AN16" s="262"/>
      <c r="AO16" s="261"/>
      <c r="AP16" s="261"/>
      <c r="AQ16" s="261"/>
      <c r="AR16" s="262"/>
      <c r="AS16" s="261"/>
      <c r="AT16" s="261"/>
    </row>
    <row r="17" spans="1:46" ht="10.5">
      <c r="A17" s="589" t="s">
        <v>264</v>
      </c>
      <c r="B17" s="248">
        <v>2015</v>
      </c>
      <c r="C17" s="248">
        <v>2016</v>
      </c>
      <c r="D17" s="248">
        <v>2017</v>
      </c>
      <c r="E17" s="248">
        <v>2018</v>
      </c>
      <c r="F17" s="248">
        <v>2019</v>
      </c>
      <c r="G17" s="248">
        <v>2020</v>
      </c>
      <c r="H17" s="248">
        <v>2021</v>
      </c>
      <c r="I17" s="248">
        <v>2022</v>
      </c>
      <c r="J17" s="248">
        <v>2023</v>
      </c>
      <c r="K17" s="248">
        <v>2024</v>
      </c>
      <c r="M17" s="248" t="s">
        <v>769</v>
      </c>
      <c r="N17" s="248" t="s">
        <v>770</v>
      </c>
      <c r="O17" s="248" t="s">
        <v>771</v>
      </c>
      <c r="P17" s="249" t="s">
        <v>772</v>
      </c>
      <c r="Q17" s="248" t="s">
        <v>764</v>
      </c>
      <c r="R17" s="248" t="s">
        <v>765</v>
      </c>
      <c r="S17" s="248" t="s">
        <v>766</v>
      </c>
      <c r="T17" s="249" t="s">
        <v>767</v>
      </c>
      <c r="U17" s="248" t="s">
        <v>768</v>
      </c>
      <c r="V17" s="248" t="s">
        <v>730</v>
      </c>
      <c r="W17" s="248" t="s">
        <v>731</v>
      </c>
      <c r="X17" s="249" t="s">
        <v>732</v>
      </c>
      <c r="Y17" s="248" t="s">
        <v>733</v>
      </c>
      <c r="Z17" s="248" t="s">
        <v>626</v>
      </c>
      <c r="AA17" s="248" t="s">
        <v>620</v>
      </c>
      <c r="AB17" s="249" t="s">
        <v>619</v>
      </c>
      <c r="AC17" s="248" t="s">
        <v>614</v>
      </c>
      <c r="AD17" s="248" t="s">
        <v>604</v>
      </c>
      <c r="AE17" s="248" t="s">
        <v>589</v>
      </c>
      <c r="AF17" s="249" t="s">
        <v>587</v>
      </c>
      <c r="AG17" s="248" t="s">
        <v>504</v>
      </c>
      <c r="AH17" s="248" t="s">
        <v>551</v>
      </c>
      <c r="AI17" s="248" t="s">
        <v>532</v>
      </c>
      <c r="AJ17" s="249" t="s">
        <v>530</v>
      </c>
      <c r="AK17" s="248" t="s">
        <v>803</v>
      </c>
      <c r="AL17" s="248" t="s">
        <v>812</v>
      </c>
      <c r="AM17" s="248" t="s">
        <v>816</v>
      </c>
      <c r="AN17" s="249" t="s">
        <v>835</v>
      </c>
      <c r="AO17" s="248" t="s">
        <v>872</v>
      </c>
      <c r="AP17" s="248" t="s">
        <v>986</v>
      </c>
      <c r="AQ17" s="248" t="s">
        <v>1016</v>
      </c>
      <c r="AR17" s="249" t="s">
        <v>1039</v>
      </c>
      <c r="AS17" s="248" t="s">
        <v>1076</v>
      </c>
      <c r="AT17" s="248" t="s">
        <v>1285</v>
      </c>
    </row>
    <row r="18" spans="1:46">
      <c r="A18" s="250" t="s">
        <v>73</v>
      </c>
      <c r="B18" s="251">
        <v>20317</v>
      </c>
      <c r="C18" s="251">
        <v>18898</v>
      </c>
      <c r="D18" s="251">
        <v>22383</v>
      </c>
      <c r="E18" s="251">
        <v>28540</v>
      </c>
      <c r="F18" s="251">
        <v>29891</v>
      </c>
      <c r="G18" s="251">
        <v>26927</v>
      </c>
      <c r="H18" s="251">
        <f t="shared" si="0"/>
        <v>29320</v>
      </c>
      <c r="I18" s="551">
        <v>38904</v>
      </c>
      <c r="J18" s="251">
        <v>47530</v>
      </c>
      <c r="K18" s="251">
        <v>48914</v>
      </c>
      <c r="M18" s="251">
        <v>5220</v>
      </c>
      <c r="N18" s="251">
        <v>5495</v>
      </c>
      <c r="O18" s="251">
        <v>5406</v>
      </c>
      <c r="P18" s="252">
        <v>6262</v>
      </c>
      <c r="Q18" s="251">
        <v>5943</v>
      </c>
      <c r="R18" s="251">
        <v>7325</v>
      </c>
      <c r="S18" s="251">
        <v>7178</v>
      </c>
      <c r="T18" s="252">
        <v>8094</v>
      </c>
      <c r="U18" s="251">
        <v>7115</v>
      </c>
      <c r="V18" s="251">
        <v>7702</v>
      </c>
      <c r="W18" s="251">
        <v>7334</v>
      </c>
      <c r="X18" s="252">
        <v>7740</v>
      </c>
      <c r="Y18" s="251">
        <v>6579</v>
      </c>
      <c r="Z18" s="251">
        <v>6422</v>
      </c>
      <c r="AA18" s="251">
        <v>6471</v>
      </c>
      <c r="AB18" s="252">
        <v>7455</v>
      </c>
      <c r="AC18" s="251">
        <v>6391</v>
      </c>
      <c r="AD18" s="251">
        <v>7187</v>
      </c>
      <c r="AE18" s="251">
        <v>7242</v>
      </c>
      <c r="AF18" s="252">
        <v>8500</v>
      </c>
      <c r="AG18" s="551">
        <v>8485</v>
      </c>
      <c r="AH18" s="551">
        <v>9060</v>
      </c>
      <c r="AI18" s="551">
        <v>10070</v>
      </c>
      <c r="AJ18" s="552">
        <v>11289</v>
      </c>
      <c r="AK18" s="251">
        <v>10733</v>
      </c>
      <c r="AL18" s="251">
        <v>12510</v>
      </c>
      <c r="AM18" s="251">
        <v>11729</v>
      </c>
      <c r="AN18" s="252">
        <v>12558</v>
      </c>
      <c r="AO18" s="251">
        <v>11212</v>
      </c>
      <c r="AP18" s="251">
        <v>12516</v>
      </c>
      <c r="AQ18" s="251">
        <v>11875</v>
      </c>
      <c r="AR18" s="252">
        <v>13311</v>
      </c>
      <c r="AS18" s="251">
        <v>11704</v>
      </c>
      <c r="AT18" s="251">
        <v>11435</v>
      </c>
    </row>
    <row r="19" spans="1:46">
      <c r="A19" s="253" t="s">
        <v>60</v>
      </c>
      <c r="B19" s="254">
        <v>8510</v>
      </c>
      <c r="C19" s="254">
        <v>7710</v>
      </c>
      <c r="D19" s="254">
        <v>10276</v>
      </c>
      <c r="E19" s="254">
        <v>14238</v>
      </c>
      <c r="F19" s="254">
        <v>13862</v>
      </c>
      <c r="G19" s="254">
        <v>11382</v>
      </c>
      <c r="H19" s="254">
        <f t="shared" si="0"/>
        <v>12197</v>
      </c>
      <c r="I19" s="553">
        <v>16442</v>
      </c>
      <c r="J19" s="648">
        <v>20410</v>
      </c>
      <c r="K19" s="254">
        <v>21726</v>
      </c>
      <c r="L19" s="228"/>
      <c r="M19" s="254">
        <v>2219</v>
      </c>
      <c r="N19" s="254">
        <v>2469</v>
      </c>
      <c r="O19" s="254">
        <v>2414</v>
      </c>
      <c r="P19" s="255">
        <v>3174</v>
      </c>
      <c r="Q19" s="254">
        <v>2678</v>
      </c>
      <c r="R19" s="254">
        <v>3640</v>
      </c>
      <c r="S19" s="254">
        <v>3570</v>
      </c>
      <c r="T19" s="255">
        <v>4350</v>
      </c>
      <c r="U19" s="254">
        <v>3313</v>
      </c>
      <c r="V19" s="254">
        <v>3638</v>
      </c>
      <c r="W19" s="254">
        <v>3198</v>
      </c>
      <c r="X19" s="255">
        <v>3713</v>
      </c>
      <c r="Y19" s="254">
        <v>2519</v>
      </c>
      <c r="Z19" s="254">
        <v>2768</v>
      </c>
      <c r="AA19" s="254">
        <v>2688</v>
      </c>
      <c r="AB19" s="255">
        <v>3408</v>
      </c>
      <c r="AC19" s="254">
        <v>2562</v>
      </c>
      <c r="AD19" s="254">
        <v>3052</v>
      </c>
      <c r="AE19" s="254">
        <v>2792</v>
      </c>
      <c r="AF19" s="255">
        <v>3791</v>
      </c>
      <c r="AG19" s="553">
        <v>3699</v>
      </c>
      <c r="AH19" s="553">
        <v>3550</v>
      </c>
      <c r="AI19" s="553">
        <v>4155</v>
      </c>
      <c r="AJ19" s="554">
        <v>5037</v>
      </c>
      <c r="AK19" s="648">
        <v>4120</v>
      </c>
      <c r="AL19" s="648">
        <v>5489</v>
      </c>
      <c r="AM19" s="648">
        <v>4870</v>
      </c>
      <c r="AN19" s="649">
        <v>5930.74</v>
      </c>
      <c r="AO19" s="254">
        <v>4708</v>
      </c>
      <c r="AP19" s="254">
        <v>5546.6664725846003</v>
      </c>
      <c r="AQ19" s="254">
        <v>5178.3335274153997</v>
      </c>
      <c r="AR19" s="836">
        <v>6293</v>
      </c>
      <c r="AS19" s="254">
        <v>5072</v>
      </c>
      <c r="AT19" s="254">
        <v>5012</v>
      </c>
    </row>
    <row r="20" spans="1:46">
      <c r="A20" s="253" t="s">
        <v>72</v>
      </c>
      <c r="B20" s="256">
        <v>11807</v>
      </c>
      <c r="C20" s="256">
        <v>11188</v>
      </c>
      <c r="D20" s="256">
        <v>12106.760383407502</v>
      </c>
      <c r="E20" s="256">
        <v>14302</v>
      </c>
      <c r="F20" s="256">
        <v>16030</v>
      </c>
      <c r="G20" s="256">
        <v>15545</v>
      </c>
      <c r="H20" s="256">
        <f t="shared" si="0"/>
        <v>17123</v>
      </c>
      <c r="I20" s="555">
        <v>22462</v>
      </c>
      <c r="J20" s="650">
        <v>27120</v>
      </c>
      <c r="K20" s="256">
        <v>27188</v>
      </c>
      <c r="L20" s="427"/>
      <c r="M20" s="256">
        <v>3000.7719271698002</v>
      </c>
      <c r="N20" s="256">
        <v>3026</v>
      </c>
      <c r="O20" s="256">
        <v>2992</v>
      </c>
      <c r="P20" s="257">
        <v>3088.1511000085002</v>
      </c>
      <c r="Q20" s="256">
        <v>3265</v>
      </c>
      <c r="R20" s="256">
        <v>3685</v>
      </c>
      <c r="S20" s="256">
        <v>3608</v>
      </c>
      <c r="T20" s="257">
        <v>3744.3818536147</v>
      </c>
      <c r="U20" s="256">
        <v>3802</v>
      </c>
      <c r="V20" s="256">
        <v>4064</v>
      </c>
      <c r="W20" s="256">
        <v>4136</v>
      </c>
      <c r="X20" s="257">
        <v>4028</v>
      </c>
      <c r="Y20" s="256">
        <v>4060</v>
      </c>
      <c r="Z20" s="256">
        <v>3654</v>
      </c>
      <c r="AA20" s="256">
        <v>3783</v>
      </c>
      <c r="AB20" s="257">
        <v>4048</v>
      </c>
      <c r="AC20" s="256">
        <v>3829</v>
      </c>
      <c r="AD20" s="256">
        <v>4135</v>
      </c>
      <c r="AE20" s="256">
        <v>4450</v>
      </c>
      <c r="AF20" s="257">
        <v>4709</v>
      </c>
      <c r="AG20" s="555">
        <v>4786</v>
      </c>
      <c r="AH20" s="555">
        <v>5510</v>
      </c>
      <c r="AI20" s="555">
        <v>5915</v>
      </c>
      <c r="AJ20" s="556">
        <v>6252</v>
      </c>
      <c r="AK20" s="650">
        <v>6613</v>
      </c>
      <c r="AL20" s="650">
        <v>7021</v>
      </c>
      <c r="AM20" s="650">
        <v>6859</v>
      </c>
      <c r="AN20" s="651">
        <v>6627.26</v>
      </c>
      <c r="AO20" s="256">
        <v>6504</v>
      </c>
      <c r="AP20" s="256">
        <v>6969.3335274153997</v>
      </c>
      <c r="AQ20" s="256">
        <v>6696.6664725846003</v>
      </c>
      <c r="AR20" s="837">
        <v>7018</v>
      </c>
      <c r="AS20" s="256">
        <v>6632</v>
      </c>
      <c r="AT20" s="256">
        <v>6423</v>
      </c>
    </row>
    <row r="21" spans="1:46">
      <c r="A21" s="250" t="s">
        <v>71</v>
      </c>
      <c r="B21" s="251">
        <v>8088</v>
      </c>
      <c r="C21" s="251">
        <v>7925</v>
      </c>
      <c r="D21" s="251">
        <v>8738</v>
      </c>
      <c r="E21" s="251">
        <v>9519</v>
      </c>
      <c r="F21" s="251">
        <v>10799</v>
      </c>
      <c r="G21" s="251">
        <v>9024</v>
      </c>
      <c r="H21" s="251">
        <f t="shared" si="0"/>
        <v>10205</v>
      </c>
      <c r="I21" s="551">
        <v>10806</v>
      </c>
      <c r="J21" s="251">
        <v>12723</v>
      </c>
      <c r="K21" s="251">
        <v>14640</v>
      </c>
      <c r="M21" s="251">
        <v>2161</v>
      </c>
      <c r="N21" s="251">
        <v>2297</v>
      </c>
      <c r="O21" s="251">
        <v>2141</v>
      </c>
      <c r="P21" s="252">
        <v>2139</v>
      </c>
      <c r="Q21" s="251">
        <v>2245</v>
      </c>
      <c r="R21" s="251">
        <v>2452</v>
      </c>
      <c r="S21" s="251">
        <v>2382</v>
      </c>
      <c r="T21" s="252">
        <v>2440</v>
      </c>
      <c r="U21" s="251">
        <v>2605</v>
      </c>
      <c r="V21" s="251">
        <v>2926</v>
      </c>
      <c r="W21" s="251">
        <v>2765</v>
      </c>
      <c r="X21" s="252">
        <v>2503</v>
      </c>
      <c r="Y21" s="251">
        <v>2505</v>
      </c>
      <c r="Z21" s="251">
        <v>2035</v>
      </c>
      <c r="AA21" s="251">
        <v>2196</v>
      </c>
      <c r="AB21" s="252">
        <v>2288</v>
      </c>
      <c r="AC21" s="251">
        <v>2345</v>
      </c>
      <c r="AD21" s="251">
        <v>2517</v>
      </c>
      <c r="AE21" s="251">
        <v>2699</v>
      </c>
      <c r="AF21" s="252">
        <v>2644</v>
      </c>
      <c r="AG21" s="551">
        <v>2588</v>
      </c>
      <c r="AH21" s="551">
        <v>2794</v>
      </c>
      <c r="AI21" s="551">
        <v>2711</v>
      </c>
      <c r="AJ21" s="552">
        <v>2713</v>
      </c>
      <c r="AK21" s="251">
        <v>3125</v>
      </c>
      <c r="AL21" s="251">
        <v>3418</v>
      </c>
      <c r="AM21" s="251">
        <v>3195</v>
      </c>
      <c r="AN21" s="252">
        <v>2985</v>
      </c>
      <c r="AO21" s="251">
        <v>2949</v>
      </c>
      <c r="AP21" s="251">
        <v>3991</v>
      </c>
      <c r="AQ21" s="251">
        <v>3809</v>
      </c>
      <c r="AR21" s="252">
        <v>3891</v>
      </c>
      <c r="AS21" s="251">
        <v>3811</v>
      </c>
      <c r="AT21" s="251">
        <v>3665</v>
      </c>
    </row>
    <row r="22" spans="1:46">
      <c r="A22" s="250" t="s">
        <v>110</v>
      </c>
      <c r="B22" s="251">
        <v>258</v>
      </c>
      <c r="C22" s="251">
        <v>279</v>
      </c>
      <c r="D22" s="251">
        <v>243.24751847849984</v>
      </c>
      <c r="E22" s="251">
        <v>226</v>
      </c>
      <c r="F22" s="251">
        <v>159</v>
      </c>
      <c r="G22" s="251">
        <v>171</v>
      </c>
      <c r="H22" s="251">
        <f t="shared" si="0"/>
        <v>120</v>
      </c>
      <c r="I22" s="251">
        <v>-16</v>
      </c>
      <c r="J22" s="251">
        <v>90</v>
      </c>
      <c r="K22" s="251">
        <v>50</v>
      </c>
      <c r="M22" s="251">
        <v>30.247518478499842</v>
      </c>
      <c r="N22" s="251">
        <v>87</v>
      </c>
      <c r="O22" s="251">
        <v>63</v>
      </c>
      <c r="P22" s="252">
        <v>63</v>
      </c>
      <c r="Q22" s="251">
        <v>45</v>
      </c>
      <c r="R22" s="251">
        <v>66</v>
      </c>
      <c r="S22" s="251">
        <v>91</v>
      </c>
      <c r="T22" s="252">
        <v>24</v>
      </c>
      <c r="U22" s="251">
        <v>65</v>
      </c>
      <c r="V22" s="251">
        <v>-2</v>
      </c>
      <c r="W22" s="251">
        <v>59</v>
      </c>
      <c r="X22" s="252">
        <v>37</v>
      </c>
      <c r="Y22" s="251">
        <v>50</v>
      </c>
      <c r="Z22" s="251">
        <v>1</v>
      </c>
      <c r="AA22" s="251">
        <v>57</v>
      </c>
      <c r="AB22" s="252">
        <v>63</v>
      </c>
      <c r="AC22" s="251">
        <v>37</v>
      </c>
      <c r="AD22" s="251">
        <v>29</v>
      </c>
      <c r="AE22" s="251">
        <v>25</v>
      </c>
      <c r="AF22" s="252">
        <v>29</v>
      </c>
      <c r="AG22" s="551">
        <v>15</v>
      </c>
      <c r="AH22" s="551">
        <v>14</v>
      </c>
      <c r="AI22" s="551">
        <v>21</v>
      </c>
      <c r="AJ22" s="552">
        <v>-66</v>
      </c>
      <c r="AK22" s="251">
        <v>10</v>
      </c>
      <c r="AL22" s="251">
        <v>-18</v>
      </c>
      <c r="AM22" s="251">
        <v>73</v>
      </c>
      <c r="AN22" s="252">
        <v>25</v>
      </c>
      <c r="AO22" s="251">
        <v>-18</v>
      </c>
      <c r="AP22" s="251">
        <v>4</v>
      </c>
      <c r="AQ22" s="251">
        <v>15</v>
      </c>
      <c r="AR22" s="252">
        <v>49</v>
      </c>
      <c r="AS22" s="251">
        <v>21</v>
      </c>
      <c r="AT22" s="251">
        <v>30</v>
      </c>
    </row>
    <row r="23" spans="1:46" ht="10.5">
      <c r="A23" s="258" t="s">
        <v>35</v>
      </c>
      <c r="B23" s="259">
        <v>28663</v>
      </c>
      <c r="C23" s="259">
        <v>27102</v>
      </c>
      <c r="D23" s="259">
        <v>31364.2475184785</v>
      </c>
      <c r="E23" s="259">
        <v>38285</v>
      </c>
      <c r="F23" s="259">
        <v>40849</v>
      </c>
      <c r="G23" s="259">
        <v>36122</v>
      </c>
      <c r="H23" s="259">
        <f t="shared" si="0"/>
        <v>39645</v>
      </c>
      <c r="I23" s="259">
        <v>49694</v>
      </c>
      <c r="J23" s="259">
        <v>60343</v>
      </c>
      <c r="K23" s="259">
        <v>63604</v>
      </c>
      <c r="L23" s="843"/>
      <c r="M23" s="259">
        <v>7411.2475184784998</v>
      </c>
      <c r="N23" s="259">
        <v>7879</v>
      </c>
      <c r="O23" s="259">
        <v>7610</v>
      </c>
      <c r="P23" s="260">
        <v>8464</v>
      </c>
      <c r="Q23" s="259">
        <v>8233</v>
      </c>
      <c r="R23" s="259">
        <v>9843</v>
      </c>
      <c r="S23" s="259">
        <v>9651</v>
      </c>
      <c r="T23" s="260">
        <v>10558</v>
      </c>
      <c r="U23" s="259">
        <v>9785</v>
      </c>
      <c r="V23" s="259">
        <v>10626</v>
      </c>
      <c r="W23" s="259">
        <v>10158</v>
      </c>
      <c r="X23" s="260">
        <v>10280</v>
      </c>
      <c r="Y23" s="259">
        <v>9134</v>
      </c>
      <c r="Z23" s="259">
        <v>8458</v>
      </c>
      <c r="AA23" s="259">
        <v>8724</v>
      </c>
      <c r="AB23" s="260">
        <v>9806</v>
      </c>
      <c r="AC23" s="259">
        <v>8773</v>
      </c>
      <c r="AD23" s="259">
        <v>9733</v>
      </c>
      <c r="AE23" s="259">
        <v>9966</v>
      </c>
      <c r="AF23" s="260">
        <v>11173</v>
      </c>
      <c r="AG23" s="557">
        <v>11088</v>
      </c>
      <c r="AH23" s="557">
        <v>11868</v>
      </c>
      <c r="AI23" s="557">
        <v>12802</v>
      </c>
      <c r="AJ23" s="558">
        <v>13936</v>
      </c>
      <c r="AK23" s="259">
        <v>13868</v>
      </c>
      <c r="AL23" s="259">
        <v>15910</v>
      </c>
      <c r="AM23" s="259">
        <v>14997</v>
      </c>
      <c r="AN23" s="260">
        <v>15568</v>
      </c>
      <c r="AO23" s="259">
        <v>14143</v>
      </c>
      <c r="AP23" s="259">
        <v>16511</v>
      </c>
      <c r="AQ23" s="259">
        <v>15699</v>
      </c>
      <c r="AR23" s="260">
        <v>17251</v>
      </c>
      <c r="AS23" s="259">
        <v>15536</v>
      </c>
      <c r="AT23" s="259">
        <v>15130</v>
      </c>
    </row>
    <row r="24" spans="1:46" ht="10.5">
      <c r="A24" s="253" t="s">
        <v>261</v>
      </c>
      <c r="B24" s="261"/>
      <c r="C24" s="230">
        <v>-0.05</v>
      </c>
      <c r="D24" s="230">
        <v>0.16</v>
      </c>
      <c r="E24" s="230">
        <v>0.22</v>
      </c>
      <c r="F24" s="230">
        <v>7.0000000000000007E-2</v>
      </c>
      <c r="G24" s="230">
        <v>-0.12</v>
      </c>
      <c r="H24" s="230">
        <f>H23/G23-1</f>
        <v>9.7530590775704473E-2</v>
      </c>
      <c r="I24" s="230">
        <f>I23/H23-1</f>
        <v>0.25347458695926339</v>
      </c>
      <c r="J24" s="230">
        <f>J23/I23-1</f>
        <v>0.2142914637582003</v>
      </c>
      <c r="K24" s="230">
        <f>K23/J23-1</f>
        <v>5.4041065243690234E-2</v>
      </c>
      <c r="M24" s="261"/>
      <c r="N24" s="261"/>
      <c r="O24" s="261"/>
      <c r="P24" s="262"/>
      <c r="Q24" s="261"/>
      <c r="R24" s="261"/>
      <c r="S24" s="261"/>
      <c r="T24" s="262"/>
      <c r="U24" s="261"/>
      <c r="V24" s="261"/>
      <c r="W24" s="261"/>
      <c r="X24" s="262"/>
      <c r="Y24" s="261"/>
      <c r="Z24" s="261"/>
      <c r="AA24" s="261"/>
      <c r="AB24" s="262"/>
      <c r="AC24" s="261"/>
      <c r="AD24" s="261"/>
      <c r="AE24" s="261"/>
      <c r="AF24" s="262"/>
      <c r="AG24" s="261"/>
      <c r="AH24" s="261"/>
      <c r="AI24" s="261"/>
      <c r="AJ24" s="262"/>
      <c r="AK24" s="261"/>
      <c r="AL24" s="261"/>
      <c r="AM24" s="261"/>
      <c r="AN24" s="262"/>
      <c r="AO24" s="261"/>
      <c r="AP24" s="261"/>
      <c r="AQ24" s="261"/>
      <c r="AR24" s="262"/>
      <c r="AS24" s="261"/>
      <c r="AT24" s="261"/>
    </row>
    <row r="25" spans="1:46" ht="10.5">
      <c r="A25" s="253" t="s">
        <v>1044</v>
      </c>
      <c r="B25" s="261"/>
      <c r="C25" s="239">
        <f t="shared" ref="C25:H25" si="1">D25</f>
        <v>9.2603359896692217E-2</v>
      </c>
      <c r="D25" s="239">
        <f t="shared" si="1"/>
        <v>9.2603359896692217E-2</v>
      </c>
      <c r="E25" s="239">
        <f t="shared" si="1"/>
        <v>9.2603359896692217E-2</v>
      </c>
      <c r="F25" s="239">
        <f t="shared" si="1"/>
        <v>9.2603359896692217E-2</v>
      </c>
      <c r="G25" s="239">
        <f t="shared" si="1"/>
        <v>9.2603359896692217E-2</v>
      </c>
      <c r="H25" s="239">
        <f t="shared" si="1"/>
        <v>9.2603359896692217E-2</v>
      </c>
      <c r="I25" s="239">
        <f>J25</f>
        <v>9.2603359896692217E-2</v>
      </c>
      <c r="J25" s="239">
        <f>K25</f>
        <v>9.2603359896692217E-2</v>
      </c>
      <c r="K25" s="239">
        <f>($K$23/$B$23)^(1/9)-1</f>
        <v>9.2603359896692217E-2</v>
      </c>
      <c r="M25" s="261"/>
      <c r="N25" s="261"/>
      <c r="O25" s="261"/>
      <c r="P25" s="262"/>
      <c r="Q25" s="261"/>
      <c r="R25" s="261"/>
      <c r="S25" s="261"/>
      <c r="T25" s="262"/>
      <c r="U25" s="261"/>
      <c r="V25" s="261"/>
      <c r="W25" s="261"/>
      <c r="X25" s="262"/>
      <c r="Y25" s="261"/>
      <c r="Z25" s="261"/>
      <c r="AA25" s="261"/>
      <c r="AB25" s="262"/>
      <c r="AC25" s="261"/>
      <c r="AD25" s="261"/>
      <c r="AE25" s="261"/>
      <c r="AF25" s="262"/>
      <c r="AG25" s="261"/>
      <c r="AH25" s="261"/>
      <c r="AI25" s="261"/>
      <c r="AJ25" s="262"/>
      <c r="AK25" s="261"/>
      <c r="AL25" s="261"/>
      <c r="AM25" s="261"/>
      <c r="AN25" s="262"/>
      <c r="AO25" s="1002"/>
      <c r="AP25" s="261"/>
      <c r="AQ25" s="261"/>
      <c r="AR25" s="262"/>
      <c r="AS25" s="1002"/>
      <c r="AT25" s="261"/>
    </row>
    <row r="26" spans="1:46" ht="10.5">
      <c r="A26" s="253"/>
      <c r="B26" s="261"/>
      <c r="C26" s="239"/>
      <c r="D26" s="239"/>
      <c r="E26" s="239"/>
      <c r="F26" s="239"/>
      <c r="G26" s="239"/>
      <c r="H26" s="239"/>
      <c r="I26" s="239"/>
      <c r="J26" s="239"/>
      <c r="K26" s="239"/>
      <c r="M26" s="261"/>
      <c r="N26" s="261"/>
      <c r="O26" s="261"/>
      <c r="P26" s="262"/>
      <c r="Q26" s="261"/>
      <c r="R26" s="261"/>
      <c r="S26" s="261"/>
      <c r="T26" s="262"/>
      <c r="U26" s="261"/>
      <c r="V26" s="261"/>
      <c r="W26" s="261"/>
      <c r="X26" s="262"/>
      <c r="Y26" s="261"/>
      <c r="Z26" s="261"/>
      <c r="AA26" s="261"/>
      <c r="AB26" s="262"/>
      <c r="AC26" s="261"/>
      <c r="AD26" s="261"/>
      <c r="AE26" s="261"/>
      <c r="AF26" s="262"/>
      <c r="AG26" s="261"/>
      <c r="AH26" s="261"/>
      <c r="AI26" s="261"/>
      <c r="AJ26" s="262"/>
      <c r="AK26" s="261"/>
      <c r="AL26" s="261"/>
      <c r="AM26" s="261"/>
      <c r="AN26" s="262"/>
      <c r="AO26" s="261"/>
      <c r="AP26" s="261"/>
      <c r="AQ26" s="261"/>
      <c r="AR26" s="262"/>
      <c r="AS26" s="261"/>
      <c r="AT26" s="261"/>
    </row>
    <row r="27" spans="1:46" ht="10.5">
      <c r="A27" s="244"/>
      <c r="B27" s="261"/>
      <c r="C27" s="261"/>
      <c r="D27" s="261"/>
      <c r="E27" s="261"/>
      <c r="F27" s="261"/>
      <c r="G27" s="264"/>
      <c r="H27" s="264"/>
      <c r="I27" s="264"/>
      <c r="J27" s="264"/>
      <c r="K27" s="261"/>
      <c r="M27" s="261"/>
      <c r="N27" s="261"/>
      <c r="O27" s="261"/>
      <c r="P27" s="262"/>
      <c r="Q27" s="261"/>
      <c r="R27" s="261"/>
      <c r="S27" s="261"/>
      <c r="T27" s="262"/>
      <c r="U27" s="261"/>
      <c r="V27" s="261"/>
      <c r="W27" s="261"/>
      <c r="X27" s="262"/>
      <c r="Y27" s="261"/>
      <c r="Z27" s="261"/>
      <c r="AA27" s="261"/>
      <c r="AB27" s="262"/>
      <c r="AC27" s="261"/>
      <c r="AD27" s="261"/>
      <c r="AE27" s="261"/>
      <c r="AF27" s="262"/>
      <c r="AG27" s="261"/>
      <c r="AH27" s="261"/>
      <c r="AI27" s="261"/>
      <c r="AJ27" s="262"/>
      <c r="AK27" s="261"/>
      <c r="AL27" s="261"/>
      <c r="AM27" s="261"/>
      <c r="AN27" s="262"/>
      <c r="AO27" s="261"/>
      <c r="AP27" s="261"/>
      <c r="AQ27" s="261" t="s">
        <v>257</v>
      </c>
      <c r="AR27" s="262"/>
      <c r="AS27" s="261"/>
      <c r="AT27" s="261"/>
    </row>
    <row r="28" spans="1:46" ht="10.5">
      <c r="A28" s="589" t="s">
        <v>980</v>
      </c>
      <c r="B28" s="248">
        <v>2015</v>
      </c>
      <c r="C28" s="248">
        <v>2016</v>
      </c>
      <c r="D28" s="248">
        <v>2017</v>
      </c>
      <c r="E28" s="248">
        <v>2018</v>
      </c>
      <c r="F28" s="248">
        <v>2019</v>
      </c>
      <c r="G28" s="248">
        <v>2020</v>
      </c>
      <c r="H28" s="248">
        <v>2021</v>
      </c>
      <c r="I28" s="248">
        <v>2022</v>
      </c>
      <c r="J28" s="248">
        <v>2023</v>
      </c>
      <c r="K28" s="248">
        <v>2024</v>
      </c>
      <c r="M28" s="248" t="s">
        <v>769</v>
      </c>
      <c r="N28" s="248" t="s">
        <v>770</v>
      </c>
      <c r="O28" s="248" t="s">
        <v>771</v>
      </c>
      <c r="P28" s="249" t="s">
        <v>772</v>
      </c>
      <c r="Q28" s="248" t="s">
        <v>764</v>
      </c>
      <c r="R28" s="248" t="s">
        <v>765</v>
      </c>
      <c r="S28" s="248" t="s">
        <v>766</v>
      </c>
      <c r="T28" s="249" t="s">
        <v>767</v>
      </c>
      <c r="U28" s="248" t="s">
        <v>768</v>
      </c>
      <c r="V28" s="248" t="s">
        <v>730</v>
      </c>
      <c r="W28" s="248" t="s">
        <v>731</v>
      </c>
      <c r="X28" s="249" t="s">
        <v>732</v>
      </c>
      <c r="Y28" s="248" t="s">
        <v>733</v>
      </c>
      <c r="Z28" s="248" t="s">
        <v>626</v>
      </c>
      <c r="AA28" s="248" t="s">
        <v>620</v>
      </c>
      <c r="AB28" s="249" t="s">
        <v>619</v>
      </c>
      <c r="AC28" s="248" t="s">
        <v>614</v>
      </c>
      <c r="AD28" s="248" t="s">
        <v>604</v>
      </c>
      <c r="AE28" s="248" t="s">
        <v>589</v>
      </c>
      <c r="AF28" s="249" t="s">
        <v>587</v>
      </c>
      <c r="AG28" s="248" t="s">
        <v>504</v>
      </c>
      <c r="AH28" s="248" t="s">
        <v>551</v>
      </c>
      <c r="AI28" s="248" t="s">
        <v>532</v>
      </c>
      <c r="AJ28" s="249" t="s">
        <v>530</v>
      </c>
      <c r="AK28" s="248" t="s">
        <v>803</v>
      </c>
      <c r="AL28" s="248" t="s">
        <v>812</v>
      </c>
      <c r="AM28" s="248" t="s">
        <v>816</v>
      </c>
      <c r="AN28" s="249" t="s">
        <v>835</v>
      </c>
      <c r="AO28" s="248" t="s">
        <v>872</v>
      </c>
      <c r="AP28" s="248" t="s">
        <v>986</v>
      </c>
      <c r="AQ28" s="248" t="s">
        <v>1016</v>
      </c>
      <c r="AR28" s="249" t="s">
        <v>1039</v>
      </c>
      <c r="AS28" s="248" t="s">
        <v>1076</v>
      </c>
      <c r="AT28" s="248" t="s">
        <v>1285</v>
      </c>
    </row>
    <row r="29" spans="1:46">
      <c r="A29" s="391" t="s">
        <v>73</v>
      </c>
      <c r="B29" s="265"/>
      <c r="C29" s="265"/>
      <c r="D29" s="265"/>
      <c r="E29" s="265"/>
      <c r="F29" s="265"/>
      <c r="G29" s="265"/>
      <c r="H29" s="265"/>
      <c r="I29" s="559"/>
      <c r="J29" s="265">
        <v>12553</v>
      </c>
      <c r="K29" s="265">
        <v>12425</v>
      </c>
      <c r="M29" s="265"/>
      <c r="N29" s="265"/>
      <c r="O29" s="265"/>
      <c r="P29" s="266"/>
      <c r="Q29" s="265"/>
      <c r="R29" s="265"/>
      <c r="S29" s="265"/>
      <c r="T29" s="266"/>
      <c r="U29" s="265"/>
      <c r="V29" s="265"/>
      <c r="W29" s="265"/>
      <c r="X29" s="266"/>
      <c r="Y29" s="265"/>
      <c r="Z29" s="265"/>
      <c r="AA29" s="265"/>
      <c r="AB29" s="266"/>
      <c r="AC29" s="265"/>
      <c r="AD29" s="265"/>
      <c r="AE29" s="265"/>
      <c r="AF29" s="266"/>
      <c r="AG29" s="559"/>
      <c r="AH29" s="559"/>
      <c r="AI29" s="559"/>
      <c r="AJ29" s="565"/>
      <c r="AK29" s="265">
        <v>2901</v>
      </c>
      <c r="AL29" s="265">
        <f>6057-AK29</f>
        <v>3156</v>
      </c>
      <c r="AM29" s="265">
        <f>9162-AL29-AK29</f>
        <v>3105</v>
      </c>
      <c r="AN29" s="266">
        <f>12553-AM29-AL29-AK29</f>
        <v>3391</v>
      </c>
      <c r="AO29" s="265">
        <v>2685</v>
      </c>
      <c r="AP29" s="265">
        <f>5640-AO29</f>
        <v>2955</v>
      </c>
      <c r="AQ29" s="265">
        <f>9108-5640</f>
        <v>3468</v>
      </c>
      <c r="AR29" s="266">
        <v>3317</v>
      </c>
      <c r="AS29" s="265">
        <v>2912</v>
      </c>
      <c r="AT29" s="265">
        <v>2751</v>
      </c>
    </row>
    <row r="30" spans="1:46">
      <c r="A30" s="391" t="s">
        <v>71</v>
      </c>
      <c r="B30" s="265"/>
      <c r="C30" s="265"/>
      <c r="D30" s="265"/>
      <c r="E30" s="265"/>
      <c r="F30" s="265"/>
      <c r="G30" s="265"/>
      <c r="H30" s="265"/>
      <c r="I30" s="559"/>
      <c r="J30" s="265">
        <v>1913</v>
      </c>
      <c r="K30" s="265">
        <v>1641</v>
      </c>
      <c r="M30" s="265"/>
      <c r="N30" s="265"/>
      <c r="O30" s="265"/>
      <c r="P30" s="266"/>
      <c r="Q30" s="265"/>
      <c r="R30" s="265"/>
      <c r="S30" s="265"/>
      <c r="T30" s="266"/>
      <c r="U30" s="265"/>
      <c r="V30" s="265"/>
      <c r="W30" s="265"/>
      <c r="X30" s="266"/>
      <c r="Y30" s="265"/>
      <c r="Z30" s="265"/>
      <c r="AA30" s="265"/>
      <c r="AB30" s="266"/>
      <c r="AC30" s="265"/>
      <c r="AD30" s="265"/>
      <c r="AE30" s="265"/>
      <c r="AF30" s="266"/>
      <c r="AG30" s="559"/>
      <c r="AH30" s="559"/>
      <c r="AI30" s="559"/>
      <c r="AJ30" s="560"/>
      <c r="AK30" s="265">
        <v>561</v>
      </c>
      <c r="AL30" s="265">
        <f>1116-AK30</f>
        <v>555</v>
      </c>
      <c r="AM30" s="265">
        <f>1633-AK30-AL30</f>
        <v>517</v>
      </c>
      <c r="AN30" s="266">
        <f>1913-AM30-AL30-AK30</f>
        <v>280</v>
      </c>
      <c r="AO30" s="265">
        <v>369</v>
      </c>
      <c r="AP30" s="265">
        <f>730-AO30</f>
        <v>361</v>
      </c>
      <c r="AQ30" s="265">
        <f>1235-730</f>
        <v>505</v>
      </c>
      <c r="AR30" s="266">
        <v>406</v>
      </c>
      <c r="AS30" s="265">
        <v>539</v>
      </c>
      <c r="AT30" s="265">
        <v>452</v>
      </c>
    </row>
    <row r="31" spans="1:46" ht="10.5">
      <c r="A31" s="258" t="s">
        <v>35</v>
      </c>
      <c r="B31" s="631"/>
      <c r="C31" s="631"/>
      <c r="D31" s="631"/>
      <c r="E31" s="631"/>
      <c r="F31" s="631"/>
      <c r="G31" s="631"/>
      <c r="H31" s="631"/>
      <c r="I31" s="259"/>
      <c r="J31" s="259">
        <v>14078</v>
      </c>
      <c r="K31" s="259">
        <v>13768</v>
      </c>
      <c r="M31" s="631"/>
      <c r="N31" s="631"/>
      <c r="O31" s="631"/>
      <c r="P31" s="633"/>
      <c r="Q31" s="631"/>
      <c r="R31" s="631"/>
      <c r="S31" s="631"/>
      <c r="T31" s="633"/>
      <c r="U31" s="631"/>
      <c r="V31" s="631"/>
      <c r="W31" s="631"/>
      <c r="X31" s="633"/>
      <c r="Y31" s="631"/>
      <c r="Z31" s="631"/>
      <c r="AA31" s="631"/>
      <c r="AB31" s="633"/>
      <c r="AC31" s="631"/>
      <c r="AD31" s="631"/>
      <c r="AE31" s="631"/>
      <c r="AF31" s="633"/>
      <c r="AG31" s="259"/>
      <c r="AH31" s="259"/>
      <c r="AI31" s="259"/>
      <c r="AJ31" s="260"/>
      <c r="AK31" s="259">
        <v>3374</v>
      </c>
      <c r="AL31" s="259">
        <v>3605</v>
      </c>
      <c r="AM31" s="259">
        <v>3533</v>
      </c>
      <c r="AN31" s="260">
        <v>3566</v>
      </c>
      <c r="AO31" s="259">
        <v>2976</v>
      </c>
      <c r="AP31" s="259">
        <f>6168-AO31</f>
        <v>3192</v>
      </c>
      <c r="AQ31" s="259">
        <v>3896</v>
      </c>
      <c r="AR31" s="260">
        <v>3704</v>
      </c>
      <c r="AS31" s="259">
        <v>3353</v>
      </c>
      <c r="AT31" s="259">
        <v>3083</v>
      </c>
    </row>
    <row r="32" spans="1:46" ht="10.5">
      <c r="A32" s="244"/>
      <c r="B32" s="261"/>
      <c r="C32" s="261"/>
      <c r="D32" s="261"/>
      <c r="E32" s="261"/>
      <c r="F32" s="261"/>
      <c r="G32" s="264"/>
      <c r="H32" s="264"/>
      <c r="I32" s="264"/>
      <c r="J32" s="264"/>
      <c r="K32" s="264"/>
      <c r="M32" s="261"/>
      <c r="N32" s="261"/>
      <c r="O32" s="261"/>
      <c r="P32" s="262"/>
      <c r="Q32" s="261"/>
      <c r="R32" s="261"/>
      <c r="S32" s="261"/>
      <c r="T32" s="262"/>
      <c r="U32" s="261"/>
      <c r="V32" s="261"/>
      <c r="W32" s="261"/>
      <c r="X32" s="262"/>
      <c r="Y32" s="261"/>
      <c r="Z32" s="261"/>
      <c r="AA32" s="261"/>
      <c r="AB32" s="262"/>
      <c r="AC32" s="261"/>
      <c r="AD32" s="261"/>
      <c r="AE32" s="261"/>
      <c r="AF32" s="262"/>
      <c r="AG32" s="261"/>
      <c r="AH32" s="261"/>
      <c r="AI32" s="261"/>
      <c r="AJ32" s="262"/>
      <c r="AK32" s="261"/>
      <c r="AL32" s="261"/>
      <c r="AM32" s="261"/>
      <c r="AN32" s="262"/>
      <c r="AO32" s="261"/>
      <c r="AP32" s="261"/>
      <c r="AQ32" s="261"/>
      <c r="AR32" s="262"/>
      <c r="AS32" s="261"/>
      <c r="AT32" s="261"/>
    </row>
    <row r="33" spans="1:53" ht="10.5">
      <c r="A33" s="589" t="s">
        <v>882</v>
      </c>
      <c r="B33" s="248">
        <v>2015</v>
      </c>
      <c r="C33" s="248">
        <v>2016</v>
      </c>
      <c r="D33" s="248">
        <v>2017</v>
      </c>
      <c r="E33" s="248">
        <v>2018</v>
      </c>
      <c r="F33" s="248">
        <v>2019</v>
      </c>
      <c r="G33" s="248">
        <v>2020</v>
      </c>
      <c r="H33" s="248">
        <v>2021</v>
      </c>
      <c r="I33" s="248">
        <v>2022</v>
      </c>
      <c r="J33" s="248">
        <v>2023</v>
      </c>
      <c r="K33" s="248">
        <v>2024</v>
      </c>
      <c r="M33" s="248" t="s">
        <v>769</v>
      </c>
      <c r="N33" s="248" t="s">
        <v>770</v>
      </c>
      <c r="O33" s="248" t="s">
        <v>771</v>
      </c>
      <c r="P33" s="249" t="s">
        <v>772</v>
      </c>
      <c r="Q33" s="248" t="s">
        <v>764</v>
      </c>
      <c r="R33" s="248" t="s">
        <v>765</v>
      </c>
      <c r="S33" s="248" t="s">
        <v>766</v>
      </c>
      <c r="T33" s="249" t="s">
        <v>767</v>
      </c>
      <c r="U33" s="248" t="s">
        <v>768</v>
      </c>
      <c r="V33" s="248" t="s">
        <v>730</v>
      </c>
      <c r="W33" s="248" t="s">
        <v>731</v>
      </c>
      <c r="X33" s="249" t="s">
        <v>732</v>
      </c>
      <c r="Y33" s="248" t="s">
        <v>733</v>
      </c>
      <c r="Z33" s="248" t="s">
        <v>626</v>
      </c>
      <c r="AA33" s="248" t="s">
        <v>620</v>
      </c>
      <c r="AB33" s="249" t="s">
        <v>619</v>
      </c>
      <c r="AC33" s="248" t="s">
        <v>614</v>
      </c>
      <c r="AD33" s="248" t="s">
        <v>604</v>
      </c>
      <c r="AE33" s="248" t="s">
        <v>589</v>
      </c>
      <c r="AF33" s="249" t="s">
        <v>587</v>
      </c>
      <c r="AG33" s="248" t="s">
        <v>504</v>
      </c>
      <c r="AH33" s="248" t="s">
        <v>551</v>
      </c>
      <c r="AI33" s="248" t="s">
        <v>532</v>
      </c>
      <c r="AJ33" s="249" t="s">
        <v>530</v>
      </c>
      <c r="AK33" s="248" t="s">
        <v>803</v>
      </c>
      <c r="AL33" s="248" t="s">
        <v>812</v>
      </c>
      <c r="AM33" s="248" t="s">
        <v>816</v>
      </c>
      <c r="AN33" s="249" t="s">
        <v>835</v>
      </c>
      <c r="AO33" s="248" t="s">
        <v>872</v>
      </c>
      <c r="AP33" s="248" t="s">
        <v>986</v>
      </c>
      <c r="AQ33" s="248" t="s">
        <v>1016</v>
      </c>
      <c r="AR33" s="249" t="s">
        <v>1039</v>
      </c>
      <c r="AS33" s="248" t="s">
        <v>1076</v>
      </c>
      <c r="AT33" s="248" t="s">
        <v>1285</v>
      </c>
    </row>
    <row r="34" spans="1:53">
      <c r="A34" s="391" t="s">
        <v>73</v>
      </c>
      <c r="B34" s="265"/>
      <c r="C34" s="265"/>
      <c r="D34" s="265"/>
      <c r="E34" s="265"/>
      <c r="F34" s="265"/>
      <c r="G34" s="265"/>
      <c r="H34" s="265"/>
      <c r="I34" s="559"/>
      <c r="J34" s="265">
        <v>12202</v>
      </c>
      <c r="K34" s="265">
        <v>12028</v>
      </c>
      <c r="M34" s="265"/>
      <c r="N34" s="265"/>
      <c r="O34" s="265"/>
      <c r="P34" s="266"/>
      <c r="Q34" s="265"/>
      <c r="R34" s="265"/>
      <c r="S34" s="265"/>
      <c r="T34" s="266"/>
      <c r="U34" s="265"/>
      <c r="V34" s="265"/>
      <c r="W34" s="265"/>
      <c r="X34" s="266"/>
      <c r="Y34" s="265"/>
      <c r="Z34" s="265"/>
      <c r="AA34" s="265"/>
      <c r="AB34" s="266"/>
      <c r="AC34" s="265"/>
      <c r="AD34" s="265"/>
      <c r="AE34" s="265"/>
      <c r="AF34" s="266"/>
      <c r="AG34" s="559"/>
      <c r="AH34" s="559"/>
      <c r="AI34" s="559"/>
      <c r="AJ34" s="565"/>
      <c r="AK34" s="265">
        <v>2901</v>
      </c>
      <c r="AL34" s="265">
        <f>6057-AK34</f>
        <v>3156</v>
      </c>
      <c r="AM34" s="265">
        <f>9155-64-AL34-AK34</f>
        <v>3034</v>
      </c>
      <c r="AN34" s="266">
        <v>3111</v>
      </c>
      <c r="AO34" s="265">
        <v>2685</v>
      </c>
      <c r="AP34" s="265">
        <f>5782-AO34</f>
        <v>3097</v>
      </c>
      <c r="AQ34" s="265">
        <f>8697-AP34-AO34</f>
        <v>2915</v>
      </c>
      <c r="AR34" s="266">
        <v>3331</v>
      </c>
      <c r="AS34" s="265">
        <v>2912</v>
      </c>
      <c r="AT34" s="265">
        <f>+AT29+AT62</f>
        <v>2702</v>
      </c>
    </row>
    <row r="35" spans="1:53">
      <c r="A35" s="391" t="s">
        <v>71</v>
      </c>
      <c r="B35" s="265"/>
      <c r="C35" s="265"/>
      <c r="D35" s="265"/>
      <c r="E35" s="265"/>
      <c r="F35" s="265"/>
      <c r="G35" s="265"/>
      <c r="H35" s="265"/>
      <c r="I35" s="559"/>
      <c r="J35" s="265">
        <f>1938+133</f>
        <v>2071</v>
      </c>
      <c r="K35" s="265">
        <v>1931</v>
      </c>
      <c r="M35" s="265"/>
      <c r="N35" s="265"/>
      <c r="O35" s="265"/>
      <c r="P35" s="266"/>
      <c r="Q35" s="265"/>
      <c r="R35" s="265"/>
      <c r="S35" s="265"/>
      <c r="T35" s="266"/>
      <c r="U35" s="265"/>
      <c r="V35" s="265"/>
      <c r="W35" s="265"/>
      <c r="X35" s="266"/>
      <c r="Y35" s="265"/>
      <c r="Z35" s="265"/>
      <c r="AA35" s="265"/>
      <c r="AB35" s="266"/>
      <c r="AC35" s="265"/>
      <c r="AD35" s="265"/>
      <c r="AE35" s="265"/>
      <c r="AF35" s="266"/>
      <c r="AG35" s="559"/>
      <c r="AH35" s="559"/>
      <c r="AI35" s="559"/>
      <c r="AJ35" s="560"/>
      <c r="AK35" s="265">
        <v>561</v>
      </c>
      <c r="AL35" s="265">
        <f>1117-AK35</f>
        <v>556</v>
      </c>
      <c r="AM35" s="265">
        <f>1633-AL35-AK35</f>
        <v>516</v>
      </c>
      <c r="AN35" s="266">
        <f>2071-AM35-AL35-AK35</f>
        <v>438</v>
      </c>
      <c r="AO35" s="265">
        <v>494</v>
      </c>
      <c r="AP35" s="265">
        <f>1020-AO35</f>
        <v>526</v>
      </c>
      <c r="AQ35" s="265">
        <f>1527-AP35-AO35-2</f>
        <v>505</v>
      </c>
      <c r="AR35" s="266">
        <v>406</v>
      </c>
      <c r="AS35" s="265">
        <v>539</v>
      </c>
      <c r="AT35" s="265">
        <f>+AT30+AT63</f>
        <v>354</v>
      </c>
    </row>
    <row r="36" spans="1:53" ht="10.5">
      <c r="A36" s="258" t="s">
        <v>35</v>
      </c>
      <c r="B36" s="631"/>
      <c r="C36" s="631"/>
      <c r="D36" s="631"/>
      <c r="E36" s="631"/>
      <c r="F36" s="631"/>
      <c r="G36" s="631"/>
      <c r="H36" s="631"/>
      <c r="I36" s="631"/>
      <c r="J36" s="259">
        <f>SUM(AK36:AN36)</f>
        <v>13948</v>
      </c>
      <c r="K36" s="259">
        <v>13661</v>
      </c>
      <c r="M36" s="631"/>
      <c r="N36" s="631"/>
      <c r="O36" s="631"/>
      <c r="P36" s="633"/>
      <c r="Q36" s="631"/>
      <c r="R36" s="631"/>
      <c r="S36" s="631"/>
      <c r="T36" s="633"/>
      <c r="U36" s="631"/>
      <c r="V36" s="631"/>
      <c r="W36" s="631"/>
      <c r="X36" s="633"/>
      <c r="Y36" s="631"/>
      <c r="Z36" s="631"/>
      <c r="AA36" s="631"/>
      <c r="AB36" s="633"/>
      <c r="AC36" s="631"/>
      <c r="AD36" s="631"/>
      <c r="AE36" s="631"/>
      <c r="AF36" s="633"/>
      <c r="AG36" s="631"/>
      <c r="AH36" s="631"/>
      <c r="AI36" s="631"/>
      <c r="AJ36" s="633"/>
      <c r="AK36" s="259">
        <f>3374-AK64</f>
        <v>3400</v>
      </c>
      <c r="AL36" s="259">
        <f>3605-AL64</f>
        <v>3621</v>
      </c>
      <c r="AM36" s="259">
        <f>3533-64-AM64</f>
        <v>3481</v>
      </c>
      <c r="AN36" s="260">
        <v>3446</v>
      </c>
      <c r="AO36" s="259">
        <f>2976-AO64</f>
        <v>3103</v>
      </c>
      <c r="AP36" s="259">
        <v>3517</v>
      </c>
      <c r="AQ36" s="259">
        <f>9979-AP36-AO36</f>
        <v>3359</v>
      </c>
      <c r="AR36" s="260">
        <v>3682</v>
      </c>
      <c r="AS36" s="259">
        <v>3364</v>
      </c>
      <c r="AT36" s="259">
        <v>3236</v>
      </c>
    </row>
    <row r="37" spans="1:53">
      <c r="B37" s="270"/>
      <c r="C37" s="270"/>
      <c r="D37" s="286"/>
      <c r="E37" s="270"/>
      <c r="F37" s="270"/>
      <c r="G37" s="270"/>
      <c r="H37" s="270"/>
      <c r="I37" s="270"/>
      <c r="J37" s="270"/>
      <c r="K37" s="270"/>
      <c r="M37" s="270"/>
      <c r="N37" s="270"/>
      <c r="O37" s="270"/>
      <c r="P37" s="272"/>
      <c r="Q37" s="270"/>
      <c r="R37" s="270"/>
      <c r="S37" s="270"/>
      <c r="T37" s="272"/>
      <c r="U37" s="270"/>
      <c r="V37" s="270"/>
      <c r="W37" s="270"/>
      <c r="X37" s="272"/>
      <c r="Y37" s="270"/>
      <c r="Z37" s="270"/>
      <c r="AA37" s="270"/>
      <c r="AB37" s="272"/>
      <c r="AC37" s="270"/>
      <c r="AD37" s="270"/>
      <c r="AE37" s="270"/>
      <c r="AF37" s="272"/>
      <c r="AG37" s="279"/>
      <c r="AH37" s="270"/>
      <c r="AI37" s="270"/>
      <c r="AJ37" s="272"/>
      <c r="AK37" s="827"/>
      <c r="AL37" s="270"/>
      <c r="AM37" s="270"/>
      <c r="AN37" s="280"/>
      <c r="AO37" s="279"/>
      <c r="AP37" s="270"/>
      <c r="AQ37" s="270"/>
      <c r="AR37" s="280"/>
      <c r="AS37" s="279"/>
      <c r="AT37" s="270"/>
    </row>
    <row r="38" spans="1:53" ht="10.5">
      <c r="A38" s="589" t="s">
        <v>883</v>
      </c>
      <c r="B38" s="248">
        <v>2015</v>
      </c>
      <c r="C38" s="248">
        <v>2016</v>
      </c>
      <c r="D38" s="248">
        <v>2017</v>
      </c>
      <c r="E38" s="248">
        <v>2018</v>
      </c>
      <c r="F38" s="248">
        <v>2019</v>
      </c>
      <c r="G38" s="248">
        <v>2020</v>
      </c>
      <c r="H38" s="248">
        <v>2021</v>
      </c>
      <c r="I38" s="248">
        <v>2022</v>
      </c>
      <c r="J38" s="248">
        <v>2023</v>
      </c>
      <c r="K38" s="248">
        <v>2024</v>
      </c>
      <c r="M38" s="248" t="s">
        <v>769</v>
      </c>
      <c r="N38" s="248" t="s">
        <v>770</v>
      </c>
      <c r="O38" s="248" t="s">
        <v>771</v>
      </c>
      <c r="P38" s="249" t="s">
        <v>772</v>
      </c>
      <c r="Q38" s="248" t="s">
        <v>764</v>
      </c>
      <c r="R38" s="248" t="s">
        <v>765</v>
      </c>
      <c r="S38" s="248" t="s">
        <v>766</v>
      </c>
      <c r="T38" s="249" t="s">
        <v>767</v>
      </c>
      <c r="U38" s="248" t="s">
        <v>768</v>
      </c>
      <c r="V38" s="248" t="s">
        <v>730</v>
      </c>
      <c r="W38" s="248" t="s">
        <v>731</v>
      </c>
      <c r="X38" s="249" t="s">
        <v>732</v>
      </c>
      <c r="Y38" s="248" t="s">
        <v>733</v>
      </c>
      <c r="Z38" s="248" t="s">
        <v>626</v>
      </c>
      <c r="AA38" s="248" t="s">
        <v>620</v>
      </c>
      <c r="AB38" s="249" t="s">
        <v>619</v>
      </c>
      <c r="AC38" s="248" t="s">
        <v>614</v>
      </c>
      <c r="AD38" s="248" t="s">
        <v>604</v>
      </c>
      <c r="AE38" s="248" t="s">
        <v>589</v>
      </c>
      <c r="AF38" s="249" t="s">
        <v>587</v>
      </c>
      <c r="AG38" s="248" t="s">
        <v>504</v>
      </c>
      <c r="AH38" s="248" t="s">
        <v>551</v>
      </c>
      <c r="AI38" s="248" t="s">
        <v>532</v>
      </c>
      <c r="AJ38" s="249" t="s">
        <v>530</v>
      </c>
      <c r="AK38" s="248" t="s">
        <v>803</v>
      </c>
      <c r="AL38" s="248" t="s">
        <v>812</v>
      </c>
      <c r="AM38" s="248" t="s">
        <v>816</v>
      </c>
      <c r="AN38" s="249" t="s">
        <v>835</v>
      </c>
      <c r="AO38" s="248" t="s">
        <v>872</v>
      </c>
      <c r="AP38" s="248" t="s">
        <v>986</v>
      </c>
      <c r="AQ38" s="248" t="s">
        <v>1016</v>
      </c>
      <c r="AR38" s="249" t="s">
        <v>1039</v>
      </c>
      <c r="AS38" s="248" t="s">
        <v>1076</v>
      </c>
      <c r="AT38" s="248" t="s">
        <v>1285</v>
      </c>
    </row>
    <row r="39" spans="1:53">
      <c r="A39" s="282" t="s">
        <v>884</v>
      </c>
      <c r="B39" s="265"/>
      <c r="C39" s="265"/>
      <c r="D39" s="265"/>
      <c r="E39" s="265"/>
      <c r="F39" s="265"/>
      <c r="G39" s="265"/>
      <c r="H39" s="265"/>
      <c r="I39" s="559"/>
      <c r="J39" s="271">
        <f>+J34/J18</f>
        <v>0.25672207027140753</v>
      </c>
      <c r="K39" s="271">
        <f>+K34/K18</f>
        <v>0.24590096904771641</v>
      </c>
      <c r="M39" s="271"/>
      <c r="N39" s="271"/>
      <c r="O39" s="271"/>
      <c r="P39" s="698"/>
      <c r="Q39" s="271"/>
      <c r="R39" s="271"/>
      <c r="S39" s="271"/>
      <c r="T39" s="698"/>
      <c r="U39" s="271"/>
      <c r="V39" s="271"/>
      <c r="W39" s="271"/>
      <c r="X39" s="698"/>
      <c r="Y39" s="271"/>
      <c r="Z39" s="271"/>
      <c r="AA39" s="271"/>
      <c r="AB39" s="698"/>
      <c r="AC39" s="271"/>
      <c r="AD39" s="271"/>
      <c r="AE39" s="271"/>
      <c r="AF39" s="698"/>
      <c r="AG39" s="699"/>
      <c r="AH39" s="699"/>
      <c r="AI39" s="699"/>
      <c r="AJ39" s="700"/>
      <c r="AK39" s="271">
        <f t="shared" ref="AK39:AO39" si="2">+AK34/AK18</f>
        <v>0.27028789713966273</v>
      </c>
      <c r="AL39" s="271">
        <f t="shared" si="2"/>
        <v>0.25227817745803355</v>
      </c>
      <c r="AM39" s="271">
        <f t="shared" si="2"/>
        <v>0.25867507886435331</v>
      </c>
      <c r="AN39" s="698">
        <f t="shared" si="2"/>
        <v>0.24773053033922598</v>
      </c>
      <c r="AO39" s="270">
        <f t="shared" si="2"/>
        <v>0.23947556189796645</v>
      </c>
      <c r="AP39" s="271">
        <f>+AP34/AP18</f>
        <v>0.24744327261105784</v>
      </c>
      <c r="AQ39" s="271">
        <f>+AQ34/AQ18</f>
        <v>0.24547368421052632</v>
      </c>
      <c r="AR39" s="698">
        <f>+AR34/AR18</f>
        <v>0.2502441589662685</v>
      </c>
      <c r="AS39" s="270">
        <v>0.249</v>
      </c>
      <c r="AT39" s="271">
        <f>+AT34/AT18</f>
        <v>0.23629208570179275</v>
      </c>
    </row>
    <row r="40" spans="1:53">
      <c r="A40" s="42" t="s">
        <v>885</v>
      </c>
      <c r="B40" s="265"/>
      <c r="C40" s="265"/>
      <c r="D40" s="265"/>
      <c r="E40" s="265"/>
      <c r="F40" s="265"/>
      <c r="G40" s="265"/>
      <c r="H40" s="265"/>
      <c r="I40" s="559"/>
      <c r="J40" s="271">
        <f>+J35/J21</f>
        <v>0.16277607482511985</v>
      </c>
      <c r="K40" s="271">
        <f>+K35/K21</f>
        <v>0.13189890710382512</v>
      </c>
      <c r="M40" s="271"/>
      <c r="N40" s="271"/>
      <c r="O40" s="271"/>
      <c r="P40" s="698"/>
      <c r="Q40" s="271"/>
      <c r="R40" s="271"/>
      <c r="S40" s="271"/>
      <c r="T40" s="698"/>
      <c r="U40" s="271"/>
      <c r="V40" s="271"/>
      <c r="W40" s="271"/>
      <c r="X40" s="698"/>
      <c r="Y40" s="271"/>
      <c r="Z40" s="271"/>
      <c r="AA40" s="271"/>
      <c r="AB40" s="698"/>
      <c r="AC40" s="271"/>
      <c r="AD40" s="271"/>
      <c r="AE40" s="271"/>
      <c r="AF40" s="698"/>
      <c r="AG40" s="699"/>
      <c r="AH40" s="699"/>
      <c r="AI40" s="699"/>
      <c r="AJ40" s="701"/>
      <c r="AK40" s="271">
        <f t="shared" ref="AK40:AO40" si="3">+AK35/AK21</f>
        <v>0.17952000000000001</v>
      </c>
      <c r="AL40" s="271">
        <f t="shared" si="3"/>
        <v>0.16266822703335285</v>
      </c>
      <c r="AM40" s="271">
        <f t="shared" si="3"/>
        <v>0.16150234741784036</v>
      </c>
      <c r="AN40" s="752">
        <f t="shared" si="3"/>
        <v>0.14673366834170853</v>
      </c>
      <c r="AO40" s="270">
        <f t="shared" si="3"/>
        <v>0.16751441166497116</v>
      </c>
      <c r="AP40" s="271">
        <f>+AP35/AP21</f>
        <v>0.13179654221999498</v>
      </c>
      <c r="AQ40" s="271">
        <f>+AQ35/AQ21</f>
        <v>0.13258072985035443</v>
      </c>
      <c r="AR40" s="752">
        <f t="shared" ref="AR40" si="4">+AR35/AR21</f>
        <v>0.10434335646363403</v>
      </c>
      <c r="AS40" s="270">
        <v>0.14099999999999999</v>
      </c>
      <c r="AT40" s="271">
        <f>+AT35/AT21</f>
        <v>9.6589358799454295E-2</v>
      </c>
    </row>
    <row r="41" spans="1:53" ht="10.5">
      <c r="A41" s="258" t="s">
        <v>886</v>
      </c>
      <c r="B41" s="631"/>
      <c r="C41" s="631"/>
      <c r="D41" s="631"/>
      <c r="E41" s="631"/>
      <c r="F41" s="631"/>
      <c r="G41" s="631"/>
      <c r="H41" s="631"/>
      <c r="I41" s="631"/>
      <c r="J41" s="709">
        <f>+J36/J23</f>
        <v>0.23114528611437946</v>
      </c>
      <c r="K41" s="709">
        <f>+K36/K23</f>
        <v>0.21478208917678132</v>
      </c>
      <c r="L41" s="632"/>
      <c r="M41" s="631"/>
      <c r="N41" s="631"/>
      <c r="O41" s="631"/>
      <c r="P41" s="633"/>
      <c r="Q41" s="631"/>
      <c r="R41" s="631"/>
      <c r="S41" s="631"/>
      <c r="T41" s="633"/>
      <c r="U41" s="631"/>
      <c r="V41" s="631"/>
      <c r="W41" s="631"/>
      <c r="X41" s="633"/>
      <c r="Y41" s="631"/>
      <c r="Z41" s="631"/>
      <c r="AA41" s="631"/>
      <c r="AB41" s="633"/>
      <c r="AC41" s="631"/>
      <c r="AD41" s="631"/>
      <c r="AE41" s="631"/>
      <c r="AF41" s="633"/>
      <c r="AG41" s="631"/>
      <c r="AH41" s="631"/>
      <c r="AI41" s="631"/>
      <c r="AJ41" s="633"/>
      <c r="AK41" s="709">
        <f t="shared" ref="AK41:AO41" si="5">+AK36/AK23</f>
        <v>0.2451687337755985</v>
      </c>
      <c r="AL41" s="709">
        <f t="shared" si="5"/>
        <v>0.22759270898805783</v>
      </c>
      <c r="AM41" s="709">
        <f t="shared" si="5"/>
        <v>0.23211308928452357</v>
      </c>
      <c r="AN41" s="276">
        <f t="shared" si="5"/>
        <v>0.22135149023638231</v>
      </c>
      <c r="AO41" s="709">
        <f t="shared" si="5"/>
        <v>0.21940182422399773</v>
      </c>
      <c r="AP41" s="709">
        <f>+AP36/AP23</f>
        <v>0.21300950881230696</v>
      </c>
      <c r="AQ41" s="709">
        <f>+AQ36/AQ23</f>
        <v>0.21396267278170583</v>
      </c>
      <c r="AR41" s="276">
        <f t="shared" ref="AR41" si="6">+AR36/AR23</f>
        <v>0.21343690220856762</v>
      </c>
      <c r="AS41" s="987" t="s">
        <v>1273</v>
      </c>
      <c r="AT41" s="709">
        <f>+AT36/AT23</f>
        <v>0.2138797091870456</v>
      </c>
    </row>
    <row r="42" spans="1:53" s="702" customFormat="1" ht="10.5">
      <c r="A42" s="756"/>
      <c r="B42" s="757"/>
      <c r="C42" s="757"/>
      <c r="D42" s="757"/>
      <c r="E42" s="757"/>
      <c r="F42" s="757"/>
      <c r="G42" s="757"/>
      <c r="H42" s="757"/>
      <c r="I42" s="757"/>
      <c r="J42" s="758"/>
      <c r="K42" s="757"/>
      <c r="L42" s="759"/>
      <c r="M42" s="757"/>
      <c r="N42" s="757"/>
      <c r="O42" s="757"/>
      <c r="P42" s="760"/>
      <c r="Q42" s="757"/>
      <c r="R42" s="757"/>
      <c r="S42" s="757"/>
      <c r="T42" s="760"/>
      <c r="U42" s="757"/>
      <c r="V42" s="757"/>
      <c r="W42" s="757"/>
      <c r="X42" s="760"/>
      <c r="Y42" s="757"/>
      <c r="Z42" s="757"/>
      <c r="AA42" s="757"/>
      <c r="AB42" s="760"/>
      <c r="AC42" s="757"/>
      <c r="AD42" s="757"/>
      <c r="AE42" s="757"/>
      <c r="AF42" s="760"/>
      <c r="AG42" s="757"/>
      <c r="AH42" s="757"/>
      <c r="AI42" s="757"/>
      <c r="AJ42" s="760"/>
      <c r="AK42" s="758"/>
      <c r="AL42" s="758"/>
      <c r="AM42" s="758"/>
      <c r="AN42" s="761"/>
      <c r="AO42" s="758"/>
      <c r="AP42" s="757"/>
      <c r="AQ42" s="757"/>
      <c r="AR42" s="761"/>
      <c r="AS42" s="758"/>
      <c r="AT42" s="757"/>
      <c r="AU42" s="42"/>
      <c r="AV42" s="42"/>
      <c r="AW42" s="42"/>
      <c r="AX42" s="42"/>
      <c r="AY42" s="42"/>
      <c r="AZ42" s="42"/>
      <c r="BA42" s="42"/>
    </row>
    <row r="43" spans="1:53" ht="10.5">
      <c r="A43" s="244"/>
      <c r="B43" s="261"/>
      <c r="C43" s="261"/>
      <c r="D43" s="261"/>
      <c r="E43" s="261"/>
      <c r="F43" s="261"/>
      <c r="G43" s="264"/>
      <c r="H43" s="264"/>
      <c r="I43" s="264"/>
      <c r="J43" s="264"/>
      <c r="K43" s="261"/>
      <c r="M43" s="261"/>
      <c r="N43" s="261"/>
      <c r="O43" s="261"/>
      <c r="P43" s="262"/>
      <c r="Q43" s="261"/>
      <c r="R43" s="261"/>
      <c r="S43" s="261"/>
      <c r="T43" s="262"/>
      <c r="U43" s="261"/>
      <c r="V43" s="261"/>
      <c r="W43" s="261"/>
      <c r="X43" s="262"/>
      <c r="Y43" s="261"/>
      <c r="Z43" s="261"/>
      <c r="AA43" s="261"/>
      <c r="AB43" s="262"/>
      <c r="AC43" s="261"/>
      <c r="AD43" s="261"/>
      <c r="AE43" s="261"/>
      <c r="AF43" s="262"/>
      <c r="AG43" s="261"/>
      <c r="AH43" s="261"/>
      <c r="AI43" s="261"/>
      <c r="AJ43" s="262"/>
      <c r="AK43" s="261"/>
      <c r="AL43" s="261"/>
      <c r="AM43" s="261"/>
      <c r="AN43" s="262"/>
      <c r="AO43" s="261"/>
      <c r="AP43" s="261"/>
      <c r="AQ43" s="261"/>
      <c r="AR43" s="262"/>
      <c r="AS43" s="261"/>
      <c r="AT43" s="261"/>
    </row>
    <row r="44" spans="1:53" ht="10.5">
      <c r="A44" s="589" t="s">
        <v>879</v>
      </c>
      <c r="B44" s="248">
        <v>2015</v>
      </c>
      <c r="C44" s="248">
        <v>2016</v>
      </c>
      <c r="D44" s="248">
        <v>2017</v>
      </c>
      <c r="E44" s="248">
        <v>2018</v>
      </c>
      <c r="F44" s="248">
        <v>2019</v>
      </c>
      <c r="G44" s="248">
        <v>2020</v>
      </c>
      <c r="H44" s="248">
        <v>2021</v>
      </c>
      <c r="I44" s="248">
        <v>2022</v>
      </c>
      <c r="J44" s="248">
        <v>2023</v>
      </c>
      <c r="K44" s="248">
        <v>2024</v>
      </c>
      <c r="M44" s="248" t="s">
        <v>769</v>
      </c>
      <c r="N44" s="248" t="s">
        <v>770</v>
      </c>
      <c r="O44" s="248" t="s">
        <v>771</v>
      </c>
      <c r="P44" s="249" t="s">
        <v>772</v>
      </c>
      <c r="Q44" s="248" t="s">
        <v>764</v>
      </c>
      <c r="R44" s="248" t="s">
        <v>765</v>
      </c>
      <c r="S44" s="248" t="s">
        <v>766</v>
      </c>
      <c r="T44" s="249" t="s">
        <v>767</v>
      </c>
      <c r="U44" s="248" t="s">
        <v>768</v>
      </c>
      <c r="V44" s="248" t="s">
        <v>730</v>
      </c>
      <c r="W44" s="248" t="s">
        <v>731</v>
      </c>
      <c r="X44" s="249" t="s">
        <v>732</v>
      </c>
      <c r="Y44" s="248" t="s">
        <v>733</v>
      </c>
      <c r="Z44" s="248" t="s">
        <v>626</v>
      </c>
      <c r="AA44" s="248" t="s">
        <v>620</v>
      </c>
      <c r="AB44" s="249" t="s">
        <v>619</v>
      </c>
      <c r="AC44" s="248" t="s">
        <v>614</v>
      </c>
      <c r="AD44" s="248" t="s">
        <v>604</v>
      </c>
      <c r="AE44" s="248" t="s">
        <v>589</v>
      </c>
      <c r="AF44" s="249" t="s">
        <v>587</v>
      </c>
      <c r="AG44" s="248" t="s">
        <v>504</v>
      </c>
      <c r="AH44" s="248" t="s">
        <v>551</v>
      </c>
      <c r="AI44" s="248" t="s">
        <v>532</v>
      </c>
      <c r="AJ44" s="249" t="s">
        <v>530</v>
      </c>
      <c r="AK44" s="248" t="s">
        <v>803</v>
      </c>
      <c r="AL44" s="248" t="s">
        <v>812</v>
      </c>
      <c r="AM44" s="248" t="s">
        <v>816</v>
      </c>
      <c r="AN44" s="249" t="s">
        <v>835</v>
      </c>
      <c r="AO44" s="248" t="s">
        <v>872</v>
      </c>
      <c r="AP44" s="248" t="s">
        <v>986</v>
      </c>
      <c r="AQ44" s="248" t="s">
        <v>1016</v>
      </c>
      <c r="AR44" s="249" t="s">
        <v>1039</v>
      </c>
      <c r="AS44" s="248" t="s">
        <v>1076</v>
      </c>
      <c r="AT44" s="248" t="s">
        <v>1285</v>
      </c>
    </row>
    <row r="45" spans="1:53">
      <c r="A45" s="250" t="s">
        <v>73</v>
      </c>
      <c r="B45" s="251">
        <v>4370</v>
      </c>
      <c r="C45" s="251">
        <v>3802</v>
      </c>
      <c r="D45" s="265">
        <v>5107</v>
      </c>
      <c r="E45" s="265">
        <v>6713</v>
      </c>
      <c r="F45" s="251">
        <v>7436</v>
      </c>
      <c r="G45" s="251">
        <v>6639</v>
      </c>
      <c r="H45" s="251">
        <f>SUM(AC45:AF45)</f>
        <v>7808</v>
      </c>
      <c r="I45" s="551">
        <v>9491</v>
      </c>
      <c r="J45" s="251">
        <v>11792</v>
      </c>
      <c r="K45" s="251">
        <v>11310</v>
      </c>
      <c r="M45" s="265">
        <v>1166</v>
      </c>
      <c r="N45" s="265">
        <v>1242</v>
      </c>
      <c r="O45" s="265">
        <v>1261</v>
      </c>
      <c r="P45" s="266">
        <v>1438</v>
      </c>
      <c r="Q45" s="265">
        <v>1351</v>
      </c>
      <c r="R45" s="265">
        <v>1741</v>
      </c>
      <c r="S45" s="265">
        <v>1755</v>
      </c>
      <c r="T45" s="266">
        <v>1866</v>
      </c>
      <c r="U45" s="265">
        <v>1707</v>
      </c>
      <c r="V45" s="265">
        <v>1961</v>
      </c>
      <c r="W45" s="265">
        <v>1923</v>
      </c>
      <c r="X45" s="266">
        <v>1845</v>
      </c>
      <c r="Y45" s="265">
        <v>1586</v>
      </c>
      <c r="Z45" s="265">
        <v>1441</v>
      </c>
      <c r="AA45" s="265">
        <v>1646</v>
      </c>
      <c r="AB45" s="266">
        <v>1966</v>
      </c>
      <c r="AC45" s="265">
        <v>1696</v>
      </c>
      <c r="AD45" s="265">
        <v>1880</v>
      </c>
      <c r="AE45" s="265">
        <v>1909</v>
      </c>
      <c r="AF45" s="266">
        <v>2323</v>
      </c>
      <c r="AG45" s="559">
        <v>2188</v>
      </c>
      <c r="AH45" s="559">
        <v>1955</v>
      </c>
      <c r="AI45" s="559">
        <v>2474</v>
      </c>
      <c r="AJ45" s="560">
        <v>2874</v>
      </c>
      <c r="AK45" s="265">
        <v>2718</v>
      </c>
      <c r="AL45" s="251">
        <v>2995</v>
      </c>
      <c r="AM45" s="251">
        <v>2868</v>
      </c>
      <c r="AN45" s="266">
        <v>3211</v>
      </c>
      <c r="AO45" s="265">
        <v>2503</v>
      </c>
      <c r="AP45" s="265">
        <v>2763</v>
      </c>
      <c r="AQ45" s="265">
        <v>2923</v>
      </c>
      <c r="AR45" s="266">
        <v>3121</v>
      </c>
      <c r="AS45" s="265">
        <v>2724</v>
      </c>
      <c r="AT45" s="265">
        <v>2577</v>
      </c>
    </row>
    <row r="46" spans="1:53">
      <c r="A46" s="250" t="s">
        <v>71</v>
      </c>
      <c r="B46" s="254">
        <v>957</v>
      </c>
      <c r="C46" s="254">
        <v>937</v>
      </c>
      <c r="D46" s="251">
        <v>1146.0051558893001</v>
      </c>
      <c r="E46" s="251">
        <v>1239</v>
      </c>
      <c r="F46" s="251">
        <v>1252</v>
      </c>
      <c r="G46" s="251">
        <v>1097</v>
      </c>
      <c r="H46" s="251">
        <f>SUM(AC46:AF46)</f>
        <v>1784</v>
      </c>
      <c r="I46" s="551">
        <v>1900</v>
      </c>
      <c r="J46" s="251">
        <v>1780</v>
      </c>
      <c r="K46" s="254">
        <v>1373</v>
      </c>
      <c r="M46" s="251">
        <v>321</v>
      </c>
      <c r="N46" s="251">
        <v>328</v>
      </c>
      <c r="O46" s="251">
        <v>279</v>
      </c>
      <c r="P46" s="252">
        <v>218.0051558893</v>
      </c>
      <c r="Q46" s="251">
        <v>287</v>
      </c>
      <c r="R46" s="251">
        <v>304</v>
      </c>
      <c r="S46" s="251">
        <v>324</v>
      </c>
      <c r="T46" s="252">
        <v>324</v>
      </c>
      <c r="U46" s="251">
        <v>371</v>
      </c>
      <c r="V46" s="251">
        <v>429</v>
      </c>
      <c r="W46" s="251">
        <v>157</v>
      </c>
      <c r="X46" s="252">
        <v>295</v>
      </c>
      <c r="Y46" s="251">
        <v>337</v>
      </c>
      <c r="Z46" s="251">
        <v>143</v>
      </c>
      <c r="AA46" s="251">
        <v>254</v>
      </c>
      <c r="AB46" s="252">
        <v>363</v>
      </c>
      <c r="AC46" s="251">
        <v>386</v>
      </c>
      <c r="AD46" s="251">
        <v>416</v>
      </c>
      <c r="AE46" s="251">
        <v>502</v>
      </c>
      <c r="AF46" s="252">
        <v>480</v>
      </c>
      <c r="AG46" s="551">
        <v>474</v>
      </c>
      <c r="AH46" s="551">
        <v>436</v>
      </c>
      <c r="AI46" s="551">
        <v>514</v>
      </c>
      <c r="AJ46" s="552">
        <v>476</v>
      </c>
      <c r="AK46" s="251">
        <v>532</v>
      </c>
      <c r="AL46" s="251">
        <v>524</v>
      </c>
      <c r="AM46" s="251">
        <v>481</v>
      </c>
      <c r="AN46" s="252">
        <v>243</v>
      </c>
      <c r="AO46" s="251">
        <v>335</v>
      </c>
      <c r="AP46" s="251">
        <v>283</v>
      </c>
      <c r="AQ46" s="251">
        <v>429</v>
      </c>
      <c r="AR46" s="252">
        <v>326</v>
      </c>
      <c r="AS46" s="251">
        <v>461</v>
      </c>
      <c r="AT46" s="251">
        <v>376</v>
      </c>
    </row>
    <row r="47" spans="1:53">
      <c r="A47" s="250" t="s">
        <v>110</v>
      </c>
      <c r="B47" s="256">
        <v>-152</v>
      </c>
      <c r="C47" s="256">
        <v>-191</v>
      </c>
      <c r="D47" s="265">
        <v>-323</v>
      </c>
      <c r="E47" s="251">
        <v>-567</v>
      </c>
      <c r="F47" s="251">
        <v>-552</v>
      </c>
      <c r="G47" s="251">
        <v>-354</v>
      </c>
      <c r="H47" s="251">
        <f t="shared" ref="H47:H50" si="7">SUM(AC47:AF47)</f>
        <v>-597</v>
      </c>
      <c r="I47" s="251">
        <v>-244</v>
      </c>
      <c r="J47" s="251">
        <v>-389</v>
      </c>
      <c r="K47" s="256">
        <v>-298</v>
      </c>
      <c r="M47" s="265">
        <v>-73</v>
      </c>
      <c r="N47" s="265">
        <v>-102</v>
      </c>
      <c r="O47" s="265">
        <v>-20</v>
      </c>
      <c r="P47" s="266">
        <v>-128</v>
      </c>
      <c r="Q47" s="265">
        <v>-123</v>
      </c>
      <c r="R47" s="265">
        <v>-235</v>
      </c>
      <c r="S47" s="265">
        <v>-181</v>
      </c>
      <c r="T47" s="266">
        <v>-28</v>
      </c>
      <c r="U47" s="265">
        <v>-148</v>
      </c>
      <c r="V47" s="265">
        <v>-127</v>
      </c>
      <c r="W47" s="265">
        <v>-153</v>
      </c>
      <c r="X47" s="266">
        <v>-124</v>
      </c>
      <c r="Y47" s="265">
        <v>9</v>
      </c>
      <c r="Z47" s="265">
        <v>-166</v>
      </c>
      <c r="AA47" s="265">
        <v>-80</v>
      </c>
      <c r="AB47" s="266">
        <v>-117</v>
      </c>
      <c r="AC47" s="265">
        <v>-215</v>
      </c>
      <c r="AD47" s="265">
        <v>-114</v>
      </c>
      <c r="AE47" s="265">
        <v>-59</v>
      </c>
      <c r="AF47" s="266">
        <v>-209</v>
      </c>
      <c r="AG47" s="265">
        <v>-31</v>
      </c>
      <c r="AH47" s="265">
        <v>-10</v>
      </c>
      <c r="AI47" s="265">
        <v>-88</v>
      </c>
      <c r="AJ47" s="266">
        <v>-115</v>
      </c>
      <c r="AK47" s="265">
        <v>-89</v>
      </c>
      <c r="AL47" s="265">
        <v>-106</v>
      </c>
      <c r="AM47" s="265">
        <v>-89</v>
      </c>
      <c r="AN47" s="266">
        <v>-105</v>
      </c>
      <c r="AO47" s="265">
        <v>-78</v>
      </c>
      <c r="AP47" s="265">
        <v>-125</v>
      </c>
      <c r="AQ47" s="265">
        <v>-75</v>
      </c>
      <c r="AR47" s="266">
        <v>-20</v>
      </c>
      <c r="AS47" s="265">
        <v>-97</v>
      </c>
      <c r="AT47" s="265">
        <v>-122</v>
      </c>
    </row>
    <row r="48" spans="1:53" ht="10.5">
      <c r="A48" s="258" t="s">
        <v>6</v>
      </c>
      <c r="B48" s="259">
        <v>5175</v>
      </c>
      <c r="C48" s="259">
        <v>4548</v>
      </c>
      <c r="D48" s="259">
        <v>5930.0051558893001</v>
      </c>
      <c r="E48" s="259">
        <v>7385</v>
      </c>
      <c r="F48" s="259">
        <v>8136</v>
      </c>
      <c r="G48" s="259">
        <v>7382</v>
      </c>
      <c r="H48" s="259">
        <f t="shared" si="7"/>
        <v>8995</v>
      </c>
      <c r="I48" s="259">
        <v>11147</v>
      </c>
      <c r="J48" s="259">
        <v>13183</v>
      </c>
      <c r="K48" s="259">
        <v>12385</v>
      </c>
      <c r="L48" s="58"/>
      <c r="M48" s="259">
        <v>1414</v>
      </c>
      <c r="N48" s="259">
        <v>1468</v>
      </c>
      <c r="O48" s="259">
        <v>1520</v>
      </c>
      <c r="P48" s="260">
        <v>1528.0051558893001</v>
      </c>
      <c r="Q48" s="259">
        <v>1515</v>
      </c>
      <c r="R48" s="259">
        <v>1810</v>
      </c>
      <c r="S48" s="259">
        <v>1898</v>
      </c>
      <c r="T48" s="260">
        <v>2162</v>
      </c>
      <c r="U48" s="259">
        <v>1930</v>
      </c>
      <c r="V48" s="259">
        <v>2263</v>
      </c>
      <c r="W48" s="259">
        <v>1927</v>
      </c>
      <c r="X48" s="260">
        <v>2016</v>
      </c>
      <c r="Y48" s="259">
        <v>1932</v>
      </c>
      <c r="Z48" s="259">
        <v>1418</v>
      </c>
      <c r="AA48" s="259">
        <v>1820</v>
      </c>
      <c r="AB48" s="260">
        <v>2212</v>
      </c>
      <c r="AC48" s="259">
        <v>1867</v>
      </c>
      <c r="AD48" s="259">
        <v>2182</v>
      </c>
      <c r="AE48" s="259">
        <v>2352</v>
      </c>
      <c r="AF48" s="260">
        <v>2594</v>
      </c>
      <c r="AG48" s="259">
        <v>2631</v>
      </c>
      <c r="AH48" s="259">
        <v>2381</v>
      </c>
      <c r="AI48" s="259">
        <v>2900</v>
      </c>
      <c r="AJ48" s="260">
        <v>3235</v>
      </c>
      <c r="AK48" s="259">
        <v>3161</v>
      </c>
      <c r="AL48" s="259">
        <v>3413</v>
      </c>
      <c r="AM48" s="259">
        <v>3260</v>
      </c>
      <c r="AN48" s="260">
        <v>3349</v>
      </c>
      <c r="AO48" s="259">
        <v>2760</v>
      </c>
      <c r="AP48" s="259">
        <v>2921</v>
      </c>
      <c r="AQ48" s="259">
        <v>3277</v>
      </c>
      <c r="AR48" s="260">
        <v>3427</v>
      </c>
      <c r="AS48" s="259">
        <v>3088</v>
      </c>
      <c r="AT48" s="259">
        <v>2831</v>
      </c>
    </row>
    <row r="49" spans="1:46">
      <c r="A49" s="250" t="s">
        <v>8</v>
      </c>
      <c r="B49" s="251">
        <v>-220</v>
      </c>
      <c r="C49" s="251">
        <v>-137</v>
      </c>
      <c r="D49" s="251">
        <v>-137</v>
      </c>
      <c r="E49" s="251">
        <v>-184</v>
      </c>
      <c r="F49" s="251">
        <v>-293</v>
      </c>
      <c r="G49" s="251">
        <v>-295</v>
      </c>
      <c r="H49" s="251">
        <f t="shared" si="7"/>
        <v>-31</v>
      </c>
      <c r="I49" s="251">
        <v>-369</v>
      </c>
      <c r="J49" s="251">
        <v>-948</v>
      </c>
      <c r="K49" s="251">
        <v>-946</v>
      </c>
      <c r="L49" s="632"/>
      <c r="M49" s="251">
        <v>-23</v>
      </c>
      <c r="N49" s="251">
        <v>-10</v>
      </c>
      <c r="O49" s="251">
        <v>-19</v>
      </c>
      <c r="P49" s="252">
        <v>-85</v>
      </c>
      <c r="Q49" s="251">
        <v>-57</v>
      </c>
      <c r="R49" s="251">
        <v>-44</v>
      </c>
      <c r="S49" s="251">
        <v>-36.982705969999984</v>
      </c>
      <c r="T49" s="252">
        <v>-46.017294030000016</v>
      </c>
      <c r="U49" s="251">
        <v>-100</v>
      </c>
      <c r="V49" s="251">
        <v>-38</v>
      </c>
      <c r="W49" s="251">
        <v>-61</v>
      </c>
      <c r="X49" s="252">
        <v>-94</v>
      </c>
      <c r="Y49" s="251">
        <v>-46</v>
      </c>
      <c r="Z49" s="251">
        <v>-51</v>
      </c>
      <c r="AA49" s="251">
        <v>-76</v>
      </c>
      <c r="AB49" s="252">
        <v>-122</v>
      </c>
      <c r="AC49" s="251">
        <v>-33</v>
      </c>
      <c r="AD49" s="251">
        <v>-44</v>
      </c>
      <c r="AE49" s="251">
        <v>73</v>
      </c>
      <c r="AF49" s="252">
        <v>-27</v>
      </c>
      <c r="AG49" s="251">
        <v>-67</v>
      </c>
      <c r="AH49" s="251">
        <v>-89</v>
      </c>
      <c r="AI49" s="251">
        <v>-24</v>
      </c>
      <c r="AJ49" s="252">
        <v>-189</v>
      </c>
      <c r="AK49" s="251">
        <v>-197</v>
      </c>
      <c r="AL49" s="251">
        <v>15</v>
      </c>
      <c r="AM49" s="251">
        <v>-331</v>
      </c>
      <c r="AN49" s="252">
        <v>-435</v>
      </c>
      <c r="AO49" s="251">
        <v>-116</v>
      </c>
      <c r="AP49" s="251">
        <v>-265</v>
      </c>
      <c r="AQ49" s="251">
        <v>-264</v>
      </c>
      <c r="AR49" s="252">
        <v>-301</v>
      </c>
      <c r="AS49" s="251">
        <v>-207</v>
      </c>
      <c r="AT49" s="251">
        <v>-131</v>
      </c>
    </row>
    <row r="50" spans="1:46" ht="10.5">
      <c r="A50" s="258" t="s">
        <v>9</v>
      </c>
      <c r="B50" s="259">
        <v>4955</v>
      </c>
      <c r="C50" s="259">
        <v>4411</v>
      </c>
      <c r="D50" s="259">
        <v>5793</v>
      </c>
      <c r="E50" s="259">
        <v>7201</v>
      </c>
      <c r="F50" s="259">
        <v>7843</v>
      </c>
      <c r="G50" s="259">
        <v>7087</v>
      </c>
      <c r="H50" s="259">
        <f t="shared" si="7"/>
        <v>8964</v>
      </c>
      <c r="I50" s="259">
        <v>10778</v>
      </c>
      <c r="J50" s="259">
        <v>12235</v>
      </c>
      <c r="K50" s="259">
        <v>11439</v>
      </c>
      <c r="M50" s="259">
        <v>1391</v>
      </c>
      <c r="N50" s="259">
        <v>1458</v>
      </c>
      <c r="O50" s="259">
        <v>1501</v>
      </c>
      <c r="P50" s="260">
        <v>1443</v>
      </c>
      <c r="Q50" s="259">
        <v>1458</v>
      </c>
      <c r="R50" s="259">
        <v>1766</v>
      </c>
      <c r="S50" s="259">
        <v>1861.0172940299999</v>
      </c>
      <c r="T50" s="260">
        <v>2116.1874796013699</v>
      </c>
      <c r="U50" s="259">
        <v>1830</v>
      </c>
      <c r="V50" s="259">
        <v>2225</v>
      </c>
      <c r="W50" s="259">
        <v>1866</v>
      </c>
      <c r="X50" s="260">
        <v>1922</v>
      </c>
      <c r="Y50" s="259">
        <v>1886</v>
      </c>
      <c r="Z50" s="259">
        <v>1367</v>
      </c>
      <c r="AA50" s="259">
        <v>1744</v>
      </c>
      <c r="AB50" s="260">
        <v>2090</v>
      </c>
      <c r="AC50" s="259">
        <v>1834</v>
      </c>
      <c r="AD50" s="259">
        <v>2138</v>
      </c>
      <c r="AE50" s="259">
        <v>2425</v>
      </c>
      <c r="AF50" s="260">
        <v>2567</v>
      </c>
      <c r="AG50" s="259">
        <v>2564</v>
      </c>
      <c r="AH50" s="259">
        <v>2292</v>
      </c>
      <c r="AI50" s="259">
        <v>2876</v>
      </c>
      <c r="AJ50" s="260">
        <v>3046</v>
      </c>
      <c r="AK50" s="259">
        <v>2964</v>
      </c>
      <c r="AL50" s="259">
        <v>3428</v>
      </c>
      <c r="AM50" s="259">
        <v>2929</v>
      </c>
      <c r="AN50" s="260">
        <v>2914</v>
      </c>
      <c r="AO50" s="259">
        <v>2644</v>
      </c>
      <c r="AP50" s="259">
        <v>2656</v>
      </c>
      <c r="AQ50" s="259">
        <v>3013</v>
      </c>
      <c r="AR50" s="260">
        <v>3126</v>
      </c>
      <c r="AS50" s="259">
        <v>2881</v>
      </c>
      <c r="AT50" s="259">
        <v>2700</v>
      </c>
    </row>
    <row r="51" spans="1:46" ht="10.5">
      <c r="A51" s="244"/>
      <c r="B51" s="267"/>
      <c r="C51" s="267"/>
      <c r="D51" s="267"/>
      <c r="E51" s="267"/>
      <c r="F51" s="267"/>
      <c r="G51" s="267"/>
      <c r="H51" s="267"/>
      <c r="I51" s="267"/>
      <c r="J51" s="267"/>
      <c r="K51" s="267"/>
      <c r="M51" s="267"/>
      <c r="N51" s="267"/>
      <c r="O51" s="267"/>
      <c r="P51" s="269"/>
      <c r="Q51" s="267"/>
      <c r="R51" s="267"/>
      <c r="S51" s="267"/>
      <c r="T51" s="269"/>
      <c r="U51" s="267"/>
      <c r="V51" s="267"/>
      <c r="W51" s="267"/>
      <c r="X51" s="269"/>
      <c r="Y51" s="267"/>
      <c r="Z51" s="267"/>
      <c r="AA51" s="267"/>
      <c r="AB51" s="269"/>
      <c r="AC51" s="267"/>
      <c r="AD51" s="267"/>
      <c r="AE51" s="267"/>
      <c r="AF51" s="269"/>
      <c r="AG51" s="267"/>
      <c r="AH51" s="267"/>
      <c r="AI51" s="267"/>
      <c r="AJ51" s="269"/>
      <c r="AK51" s="267"/>
      <c r="AL51" s="267"/>
      <c r="AM51" s="267"/>
      <c r="AN51" s="269"/>
      <c r="AO51" s="267"/>
      <c r="AP51" s="267"/>
      <c r="AQ51" s="267"/>
      <c r="AR51" s="269"/>
      <c r="AS51" s="267"/>
      <c r="AT51" s="267"/>
    </row>
    <row r="52" spans="1:46" ht="10.5">
      <c r="A52" s="244"/>
      <c r="B52" s="267"/>
      <c r="C52" s="267"/>
      <c r="D52" s="267"/>
      <c r="E52" s="267"/>
      <c r="F52" s="267"/>
      <c r="G52" s="267"/>
      <c r="H52" s="267"/>
      <c r="I52" s="267"/>
      <c r="J52" s="267"/>
      <c r="K52" s="267"/>
      <c r="M52" s="267"/>
      <c r="N52" s="267"/>
      <c r="O52" s="267"/>
      <c r="P52" s="269"/>
      <c r="Q52" s="267"/>
      <c r="R52" s="267"/>
      <c r="S52" s="267"/>
      <c r="T52" s="269"/>
      <c r="U52" s="267"/>
      <c r="V52" s="267"/>
      <c r="W52" s="267"/>
      <c r="X52" s="269"/>
      <c r="Y52" s="267"/>
      <c r="Z52" s="267"/>
      <c r="AA52" s="834"/>
      <c r="AB52" s="269"/>
      <c r="AC52" s="267"/>
      <c r="AD52" s="267"/>
      <c r="AE52" s="834"/>
      <c r="AF52" s="269"/>
      <c r="AG52" s="267"/>
      <c r="AH52" s="267"/>
      <c r="AI52" s="834"/>
      <c r="AJ52" s="269"/>
      <c r="AK52" s="267"/>
      <c r="AL52" s="267"/>
      <c r="AM52" s="834"/>
      <c r="AN52" s="269"/>
      <c r="AO52" s="267"/>
      <c r="AP52" s="267"/>
      <c r="AQ52" s="834"/>
      <c r="AR52" s="269"/>
      <c r="AS52" s="267"/>
      <c r="AT52" s="267"/>
    </row>
    <row r="53" spans="1:46" ht="10.5">
      <c r="A53" s="589" t="s">
        <v>878</v>
      </c>
      <c r="B53" s="248">
        <v>2015</v>
      </c>
      <c r="C53" s="248">
        <v>2016</v>
      </c>
      <c r="D53" s="248">
        <v>2017</v>
      </c>
      <c r="E53" s="248">
        <v>2018</v>
      </c>
      <c r="F53" s="248">
        <v>2019</v>
      </c>
      <c r="G53" s="248">
        <v>2020</v>
      </c>
      <c r="H53" s="248">
        <v>2021</v>
      </c>
      <c r="I53" s="248">
        <v>2022</v>
      </c>
      <c r="J53" s="248">
        <v>2023</v>
      </c>
      <c r="K53" s="248">
        <v>2024</v>
      </c>
      <c r="M53" s="248" t="s">
        <v>769</v>
      </c>
      <c r="N53" s="248" t="s">
        <v>770</v>
      </c>
      <c r="O53" s="248" t="s">
        <v>771</v>
      </c>
      <c r="P53" s="249" t="s">
        <v>772</v>
      </c>
      <c r="Q53" s="248" t="s">
        <v>764</v>
      </c>
      <c r="R53" s="248" t="s">
        <v>765</v>
      </c>
      <c r="S53" s="248" t="s">
        <v>766</v>
      </c>
      <c r="T53" s="249" t="s">
        <v>767</v>
      </c>
      <c r="U53" s="248" t="s">
        <v>768</v>
      </c>
      <c r="V53" s="248" t="s">
        <v>730</v>
      </c>
      <c r="W53" s="248" t="s">
        <v>731</v>
      </c>
      <c r="X53" s="249" t="s">
        <v>732</v>
      </c>
      <c r="Y53" s="248" t="s">
        <v>733</v>
      </c>
      <c r="Z53" s="248" t="s">
        <v>626</v>
      </c>
      <c r="AA53" s="248" t="s">
        <v>620</v>
      </c>
      <c r="AB53" s="249" t="s">
        <v>619</v>
      </c>
      <c r="AC53" s="248" t="s">
        <v>614</v>
      </c>
      <c r="AD53" s="248" t="s">
        <v>604</v>
      </c>
      <c r="AE53" s="248" t="s">
        <v>589</v>
      </c>
      <c r="AF53" s="249" t="s">
        <v>587</v>
      </c>
      <c r="AG53" s="248" t="s">
        <v>504</v>
      </c>
      <c r="AH53" s="248" t="s">
        <v>551</v>
      </c>
      <c r="AI53" s="248" t="s">
        <v>532</v>
      </c>
      <c r="AJ53" s="249" t="s">
        <v>530</v>
      </c>
      <c r="AK53" s="248" t="s">
        <v>803</v>
      </c>
      <c r="AL53" s="248" t="s">
        <v>812</v>
      </c>
      <c r="AM53" s="248" t="s">
        <v>816</v>
      </c>
      <c r="AN53" s="249" t="s">
        <v>835</v>
      </c>
      <c r="AO53" s="248" t="s">
        <v>872</v>
      </c>
      <c r="AP53" s="248" t="s">
        <v>986</v>
      </c>
      <c r="AQ53" s="248" t="s">
        <v>1016</v>
      </c>
      <c r="AR53" s="249" t="s">
        <v>1039</v>
      </c>
      <c r="AS53" s="248" t="s">
        <v>1076</v>
      </c>
      <c r="AT53" s="248" t="s">
        <v>1285</v>
      </c>
    </row>
    <row r="54" spans="1:46">
      <c r="A54" s="250" t="s">
        <v>73</v>
      </c>
      <c r="B54" s="270">
        <v>0.21509081065117883</v>
      </c>
      <c r="C54" s="270">
        <v>0.20118531061487988</v>
      </c>
      <c r="D54" s="270">
        <v>0.22816423178304965</v>
      </c>
      <c r="E54" s="271">
        <v>0.23524877365101612</v>
      </c>
      <c r="F54" s="270">
        <v>0.249</v>
      </c>
      <c r="G54" s="270">
        <v>0.247</v>
      </c>
      <c r="H54" s="270">
        <f>H45/H18</f>
        <v>0.26630286493860844</v>
      </c>
      <c r="I54" s="561">
        <f>I45/I18</f>
        <v>0.24395949002673248</v>
      </c>
      <c r="J54" s="270">
        <f>J45/J18</f>
        <v>0.2480959394066905</v>
      </c>
      <c r="K54" s="270">
        <f>K45/K18</f>
        <v>0.23122214498916466</v>
      </c>
      <c r="M54" s="270">
        <v>0.223</v>
      </c>
      <c r="N54" s="270">
        <v>0.22600000000000001</v>
      </c>
      <c r="O54" s="270">
        <v>0.23300000000000001</v>
      </c>
      <c r="P54" s="272">
        <v>0.23</v>
      </c>
      <c r="Q54" s="270">
        <v>0.22700000000000001</v>
      </c>
      <c r="R54" s="270">
        <v>0.23799999999999999</v>
      </c>
      <c r="S54" s="270">
        <v>0.245</v>
      </c>
      <c r="T54" s="272">
        <v>0.23100000000000001</v>
      </c>
      <c r="U54" s="270">
        <v>0.24</v>
      </c>
      <c r="V54" s="270">
        <v>0.255</v>
      </c>
      <c r="W54" s="270">
        <v>0.26200000000000001</v>
      </c>
      <c r="X54" s="272">
        <v>0.23799999999999999</v>
      </c>
      <c r="Y54" s="270">
        <v>0.24099999999999999</v>
      </c>
      <c r="Z54" s="270">
        <v>0.22438492681407701</v>
      </c>
      <c r="AA54" s="270">
        <v>0.25436563127800998</v>
      </c>
      <c r="AB54" s="272">
        <v>0.26400000000000001</v>
      </c>
      <c r="AC54" s="270">
        <v>0.26536999999999999</v>
      </c>
      <c r="AD54" s="270">
        <v>0.26200000000000001</v>
      </c>
      <c r="AE54" s="270">
        <v>0.26400000000000001</v>
      </c>
      <c r="AF54" s="272">
        <v>0.27300000000000002</v>
      </c>
      <c r="AG54" s="561">
        <f>AG45/AG18</f>
        <v>0.25786682380671772</v>
      </c>
      <c r="AH54" s="561">
        <f>AH45/AH18</f>
        <v>0.21578366445916114</v>
      </c>
      <c r="AI54" s="561">
        <f>AI45/AI18</f>
        <v>0.24568023833167826</v>
      </c>
      <c r="AJ54" s="562">
        <f>AJ45/AJ18</f>
        <v>0.25458410842412971</v>
      </c>
      <c r="AK54" s="270">
        <v>0.25323767818876403</v>
      </c>
      <c r="AL54" s="270">
        <v>0.23899999999999999</v>
      </c>
      <c r="AM54" s="270">
        <v>0.244522124648308</v>
      </c>
      <c r="AN54" s="272">
        <v>0.25569358178053803</v>
      </c>
      <c r="AO54" s="270">
        <v>0.223245270109002</v>
      </c>
      <c r="AP54" s="270">
        <v>0.220757430488974</v>
      </c>
      <c r="AQ54" s="270">
        <v>0.246147368421053</v>
      </c>
      <c r="AR54" s="272">
        <v>0.234467733453535</v>
      </c>
      <c r="AS54" s="270" t="s">
        <v>1269</v>
      </c>
      <c r="AT54" s="270">
        <v>0.22536073458679501</v>
      </c>
    </row>
    <row r="55" spans="1:46">
      <c r="A55" s="250" t="s">
        <v>71</v>
      </c>
      <c r="B55" s="273">
        <v>0.11832344213649852</v>
      </c>
      <c r="C55" s="273">
        <v>0.11823343848580442</v>
      </c>
      <c r="D55" s="273">
        <v>0.13114847827369075</v>
      </c>
      <c r="E55" s="273">
        <v>0.13011790000000001</v>
      </c>
      <c r="F55" s="273">
        <v>0.11600000000000001</v>
      </c>
      <c r="G55" s="273">
        <v>0.122</v>
      </c>
      <c r="H55" s="273">
        <f>H46/H21</f>
        <v>0.17481626653601176</v>
      </c>
      <c r="I55" s="563">
        <f>I46/I21</f>
        <v>0.17582824356838794</v>
      </c>
      <c r="J55" s="273">
        <f>J46/J21</f>
        <v>0.1399041106657235</v>
      </c>
      <c r="K55" s="273">
        <f>K46/K21</f>
        <v>9.3784153005464485E-2</v>
      </c>
      <c r="M55" s="273">
        <v>0.14799999999999999</v>
      </c>
      <c r="N55" s="273">
        <v>0.14299999999999999</v>
      </c>
      <c r="O55" s="273">
        <v>0.13</v>
      </c>
      <c r="P55" s="274">
        <v>0.10199999999999999</v>
      </c>
      <c r="Q55" s="273">
        <v>0.128</v>
      </c>
      <c r="R55" s="273">
        <v>0.124</v>
      </c>
      <c r="S55" s="273">
        <v>0.13598930000000001</v>
      </c>
      <c r="T55" s="274">
        <v>0.13259570000000001</v>
      </c>
      <c r="U55" s="273">
        <v>0.14237610000000001</v>
      </c>
      <c r="V55" s="273">
        <v>0.14649909999999999</v>
      </c>
      <c r="W55" s="273">
        <v>5.6908899999999998E-2</v>
      </c>
      <c r="X55" s="274">
        <v>0.11799999999999999</v>
      </c>
      <c r="Y55" s="273">
        <v>0.13500000000000001</v>
      </c>
      <c r="Z55" s="273">
        <v>7.0270270270270302E-2</v>
      </c>
      <c r="AA55" s="273">
        <v>0.115664845173042</v>
      </c>
      <c r="AB55" s="274">
        <v>0.159</v>
      </c>
      <c r="AC55" s="273">
        <v>0.16461000000000001</v>
      </c>
      <c r="AD55" s="273">
        <v>0.16500000000000001</v>
      </c>
      <c r="AE55" s="273">
        <v>0.186</v>
      </c>
      <c r="AF55" s="274">
        <v>0.182</v>
      </c>
      <c r="AG55" s="563">
        <f>AG46/AG21</f>
        <v>0.18315301391035549</v>
      </c>
      <c r="AH55" s="563">
        <f>AH46/AH21</f>
        <v>0.15604867573371511</v>
      </c>
      <c r="AI55" s="563">
        <f>AI46/AI21</f>
        <v>0.18959793434157138</v>
      </c>
      <c r="AJ55" s="564">
        <f>AJ46/AJ21</f>
        <v>0.17545152967194988</v>
      </c>
      <c r="AK55" s="273">
        <v>0.17024</v>
      </c>
      <c r="AL55" s="273">
        <v>0.153</v>
      </c>
      <c r="AM55" s="273">
        <v>0.15054773082942099</v>
      </c>
      <c r="AN55" s="274">
        <v>8.1407035175879397E-2</v>
      </c>
      <c r="AO55" s="273">
        <v>0.1135174</v>
      </c>
      <c r="AP55" s="273">
        <v>7.0909546479579005E-2</v>
      </c>
      <c r="AQ55" s="273">
        <v>0.112627986348123</v>
      </c>
      <c r="AR55" s="274">
        <v>8.3783089180159295E-2</v>
      </c>
      <c r="AS55" s="273" t="s">
        <v>1270</v>
      </c>
      <c r="AT55" s="273">
        <v>0.102592087312415</v>
      </c>
    </row>
    <row r="56" spans="1:46" ht="10.5">
      <c r="A56" s="258" t="s">
        <v>35</v>
      </c>
      <c r="B56" s="275">
        <v>0.18054634895161009</v>
      </c>
      <c r="C56" s="275">
        <v>0.16781049369050255</v>
      </c>
      <c r="D56" s="275">
        <v>0.189</v>
      </c>
      <c r="E56" s="275">
        <v>0.19289538983936266</v>
      </c>
      <c r="F56" s="275">
        <v>0.19900000000000001</v>
      </c>
      <c r="G56" s="275">
        <v>0.20399999999999999</v>
      </c>
      <c r="H56" s="275">
        <f>H48/H23</f>
        <v>0.22688863665027115</v>
      </c>
      <c r="I56" s="275">
        <v>0.224</v>
      </c>
      <c r="J56" s="275">
        <f>J48/J23</f>
        <v>0.21846775930928194</v>
      </c>
      <c r="K56" s="275">
        <f>K48/K23</f>
        <v>0.1947204578328407</v>
      </c>
      <c r="M56" s="275">
        <v>0.191</v>
      </c>
      <c r="N56" s="275">
        <v>0.186</v>
      </c>
      <c r="O56" s="275">
        <v>0.2</v>
      </c>
      <c r="P56" s="276">
        <v>0.18099999999999999</v>
      </c>
      <c r="Q56" s="275">
        <v>0.18415860000000001</v>
      </c>
      <c r="R56" s="275">
        <v>0.184</v>
      </c>
      <c r="S56" s="275">
        <v>0.19666355818049944</v>
      </c>
      <c r="T56" s="276">
        <v>0.20477363136957757</v>
      </c>
      <c r="U56" s="275">
        <v>0.19721749999999999</v>
      </c>
      <c r="V56" s="275">
        <v>0.2130041</v>
      </c>
      <c r="W56" s="275">
        <v>0.1896526</v>
      </c>
      <c r="X56" s="276">
        <v>0.19600000000000001</v>
      </c>
      <c r="Y56" s="275">
        <v>0.21199999999999999</v>
      </c>
      <c r="Z56" s="275">
        <v>0.167651927169544</v>
      </c>
      <c r="AA56" s="275">
        <v>0.20861989912883999</v>
      </c>
      <c r="AB56" s="276">
        <v>0.22600000000000001</v>
      </c>
      <c r="AC56" s="275">
        <v>0.21281</v>
      </c>
      <c r="AD56" s="275">
        <v>0.224</v>
      </c>
      <c r="AE56" s="275">
        <v>0.23599999999999999</v>
      </c>
      <c r="AF56" s="276">
        <v>0.23200000000000001</v>
      </c>
      <c r="AG56" s="275">
        <v>0.23699999999999999</v>
      </c>
      <c r="AH56" s="275">
        <v>0.20100000000000001</v>
      </c>
      <c r="AI56" s="275">
        <v>0.22652710513982199</v>
      </c>
      <c r="AJ56" s="276">
        <v>0.23213260619977</v>
      </c>
      <c r="AK56" s="275">
        <v>0.22793481396019599</v>
      </c>
      <c r="AL56" s="275">
        <v>0.215</v>
      </c>
      <c r="AM56" s="275">
        <v>0.217376808695072</v>
      </c>
      <c r="AN56" s="276">
        <v>0.21512076053442999</v>
      </c>
      <c r="AO56" s="275">
        <v>0.1951698</v>
      </c>
      <c r="AP56" s="275">
        <v>0.17691236145599901</v>
      </c>
      <c r="AQ56" s="275">
        <v>0.20873941015351299</v>
      </c>
      <c r="AR56" s="276">
        <v>0.19865515042606199</v>
      </c>
      <c r="AS56" s="988" t="s">
        <v>1266</v>
      </c>
      <c r="AT56" s="275">
        <v>0.187111698612029</v>
      </c>
    </row>
    <row r="57" spans="1:46" ht="10.5">
      <c r="A57" s="244"/>
      <c r="B57" s="277"/>
      <c r="C57" s="277"/>
      <c r="D57" s="277"/>
      <c r="E57" s="277"/>
      <c r="F57" s="277"/>
      <c r="G57" s="277"/>
      <c r="H57" s="277"/>
      <c r="I57" s="277"/>
      <c r="J57" s="277"/>
      <c r="K57" s="277"/>
      <c r="M57" s="277"/>
      <c r="N57" s="277"/>
      <c r="O57" s="277"/>
      <c r="P57" s="278"/>
      <c r="Q57" s="277"/>
      <c r="R57" s="277"/>
      <c r="S57" s="277"/>
      <c r="T57" s="278"/>
      <c r="U57" s="277"/>
      <c r="V57" s="277"/>
      <c r="W57" s="277"/>
      <c r="X57" s="278"/>
      <c r="Y57" s="277"/>
      <c r="Z57" s="277"/>
      <c r="AA57" s="277"/>
      <c r="AB57" s="278"/>
      <c r="AC57" s="277"/>
      <c r="AD57" s="277"/>
      <c r="AE57" s="277"/>
      <c r="AF57" s="278"/>
      <c r="AG57" s="277"/>
      <c r="AH57" s="277"/>
      <c r="AI57" s="277"/>
      <c r="AJ57" s="278"/>
      <c r="AK57" s="277"/>
      <c r="AL57" s="277"/>
      <c r="AM57" s="277"/>
      <c r="AN57" s="278"/>
      <c r="AO57" s="277"/>
      <c r="AP57" s="277"/>
      <c r="AQ57" s="277"/>
      <c r="AR57" s="278"/>
      <c r="AS57" s="277"/>
      <c r="AT57" s="277"/>
    </row>
    <row r="58" spans="1:46" ht="10.5">
      <c r="A58" s="589" t="s">
        <v>773</v>
      </c>
      <c r="B58" s="248">
        <v>2015</v>
      </c>
      <c r="C58" s="248">
        <v>2016</v>
      </c>
      <c r="D58" s="248">
        <v>2017</v>
      </c>
      <c r="E58" s="248">
        <v>2018</v>
      </c>
      <c r="F58" s="248">
        <v>2019</v>
      </c>
      <c r="G58" s="248">
        <v>2020</v>
      </c>
      <c r="H58" s="248">
        <v>2021</v>
      </c>
      <c r="I58" s="248">
        <v>2022</v>
      </c>
      <c r="J58" s="248">
        <v>2023</v>
      </c>
      <c r="K58" s="248">
        <v>2024</v>
      </c>
      <c r="M58" s="248" t="s">
        <v>769</v>
      </c>
      <c r="N58" s="248" t="s">
        <v>770</v>
      </c>
      <c r="O58" s="248" t="s">
        <v>771</v>
      </c>
      <c r="P58" s="249" t="s">
        <v>772</v>
      </c>
      <c r="Q58" s="248" t="s">
        <v>764</v>
      </c>
      <c r="R58" s="248" t="s">
        <v>765</v>
      </c>
      <c r="S58" s="248" t="s">
        <v>766</v>
      </c>
      <c r="T58" s="249" t="s">
        <v>767</v>
      </c>
      <c r="U58" s="248" t="s">
        <v>768</v>
      </c>
      <c r="V58" s="248" t="s">
        <v>730</v>
      </c>
      <c r="W58" s="248" t="s">
        <v>731</v>
      </c>
      <c r="X58" s="249" t="s">
        <v>732</v>
      </c>
      <c r="Y58" s="248" t="s">
        <v>733</v>
      </c>
      <c r="Z58" s="248" t="s">
        <v>626</v>
      </c>
      <c r="AA58" s="248" t="s">
        <v>620</v>
      </c>
      <c r="AB58" s="249" t="s">
        <v>619</v>
      </c>
      <c r="AC58" s="248" t="s">
        <v>614</v>
      </c>
      <c r="AD58" s="248" t="s">
        <v>604</v>
      </c>
      <c r="AE58" s="248" t="s">
        <v>589</v>
      </c>
      <c r="AF58" s="249" t="s">
        <v>587</v>
      </c>
      <c r="AG58" s="248" t="s">
        <v>504</v>
      </c>
      <c r="AH58" s="248" t="s">
        <v>551</v>
      </c>
      <c r="AI58" s="248" t="s">
        <v>532</v>
      </c>
      <c r="AJ58" s="249" t="s">
        <v>530</v>
      </c>
      <c r="AK58" s="248" t="s">
        <v>803</v>
      </c>
      <c r="AL58" s="248" t="s">
        <v>812</v>
      </c>
      <c r="AM58" s="248" t="s">
        <v>816</v>
      </c>
      <c r="AN58" s="249" t="s">
        <v>835</v>
      </c>
      <c r="AO58" s="248" t="s">
        <v>872</v>
      </c>
      <c r="AP58" s="248" t="s">
        <v>986</v>
      </c>
      <c r="AQ58" s="248" t="s">
        <v>1016</v>
      </c>
      <c r="AR58" s="249" t="s">
        <v>1039</v>
      </c>
      <c r="AS58" s="248" t="s">
        <v>1076</v>
      </c>
      <c r="AT58" s="248" t="s">
        <v>1285</v>
      </c>
    </row>
    <row r="59" spans="1:46">
      <c r="A59" s="250" t="s">
        <v>201</v>
      </c>
      <c r="B59" s="279" t="s">
        <v>113</v>
      </c>
      <c r="C59" s="279" t="s">
        <v>113</v>
      </c>
      <c r="D59" s="279">
        <v>-163</v>
      </c>
      <c r="E59" s="279">
        <v>-66</v>
      </c>
      <c r="F59" s="279">
        <v>-194</v>
      </c>
      <c r="G59" s="279">
        <v>-99</v>
      </c>
      <c r="H59" s="279">
        <v>-270</v>
      </c>
      <c r="I59" s="279">
        <v>37</v>
      </c>
      <c r="J59" s="279">
        <v>-63</v>
      </c>
      <c r="K59" s="279" t="s">
        <v>113</v>
      </c>
      <c r="M59" s="279">
        <v>-45</v>
      </c>
      <c r="N59" s="279">
        <v>-53</v>
      </c>
      <c r="O59" s="279">
        <v>-15</v>
      </c>
      <c r="P59" s="280">
        <v>-50</v>
      </c>
      <c r="Q59" s="279">
        <v>0</v>
      </c>
      <c r="R59" s="279">
        <v>-77</v>
      </c>
      <c r="S59" s="279">
        <v>-56</v>
      </c>
      <c r="T59" s="280">
        <v>67</v>
      </c>
      <c r="U59" s="279">
        <v>-59</v>
      </c>
      <c r="V59" s="279">
        <v>-39</v>
      </c>
      <c r="W59" s="279">
        <v>-54</v>
      </c>
      <c r="X59" s="280">
        <v>-42</v>
      </c>
      <c r="Y59" s="279">
        <v>65</v>
      </c>
      <c r="Z59" s="279">
        <v>-91</v>
      </c>
      <c r="AA59" s="279">
        <v>-21</v>
      </c>
      <c r="AB59" s="280">
        <v>-52</v>
      </c>
      <c r="AC59" s="279">
        <v>-149</v>
      </c>
      <c r="AD59" s="279">
        <v>-15</v>
      </c>
      <c r="AE59" s="279">
        <v>21</v>
      </c>
      <c r="AF59" s="280">
        <v>-127</v>
      </c>
      <c r="AG59" s="279">
        <v>43</v>
      </c>
      <c r="AH59" s="279">
        <v>75</v>
      </c>
      <c r="AI59" s="279">
        <v>-14</v>
      </c>
      <c r="AJ59" s="280">
        <v>-67</v>
      </c>
      <c r="AK59" s="279">
        <v>-26</v>
      </c>
      <c r="AL59" s="279">
        <v>-16</v>
      </c>
      <c r="AM59" s="279">
        <v>-19</v>
      </c>
      <c r="AN59" s="280">
        <v>-2</v>
      </c>
      <c r="AO59" s="279">
        <v>-2</v>
      </c>
      <c r="AP59" s="279">
        <v>-18</v>
      </c>
      <c r="AQ59" s="825">
        <v>-17</v>
      </c>
      <c r="AR59" s="280">
        <v>37</v>
      </c>
      <c r="AS59" s="279">
        <v>-11</v>
      </c>
      <c r="AT59" s="279">
        <v>-6</v>
      </c>
    </row>
    <row r="60" spans="1:46">
      <c r="A60" s="250" t="s">
        <v>217</v>
      </c>
      <c r="B60" s="279" t="s">
        <v>113</v>
      </c>
      <c r="C60" s="279" t="s">
        <v>113</v>
      </c>
      <c r="D60" s="279" t="s">
        <v>113</v>
      </c>
      <c r="E60" s="279" t="s">
        <v>113</v>
      </c>
      <c r="F60" s="279">
        <v>-28</v>
      </c>
      <c r="G60" s="281" t="s">
        <v>113</v>
      </c>
      <c r="H60" s="281" t="s">
        <v>113</v>
      </c>
      <c r="I60" s="281" t="s">
        <v>113</v>
      </c>
      <c r="J60" s="281" t="s">
        <v>113</v>
      </c>
      <c r="K60" s="279" t="s">
        <v>113</v>
      </c>
      <c r="M60" s="279" t="s">
        <v>113</v>
      </c>
      <c r="N60" s="279" t="s">
        <v>113</v>
      </c>
      <c r="O60" s="279" t="s">
        <v>113</v>
      </c>
      <c r="P60" s="280" t="s">
        <v>113</v>
      </c>
      <c r="Q60" s="279" t="s">
        <v>113</v>
      </c>
      <c r="R60" s="279" t="s">
        <v>113</v>
      </c>
      <c r="S60" s="279" t="s">
        <v>113</v>
      </c>
      <c r="T60" s="280" t="s">
        <v>113</v>
      </c>
      <c r="U60" s="279" t="s">
        <v>113</v>
      </c>
      <c r="V60" s="279" t="s">
        <v>113</v>
      </c>
      <c r="W60" s="279" t="s">
        <v>113</v>
      </c>
      <c r="X60" s="280">
        <v>-28</v>
      </c>
      <c r="Y60" s="279" t="s">
        <v>113</v>
      </c>
      <c r="Z60" s="279" t="s">
        <v>113</v>
      </c>
      <c r="AA60" s="279" t="s">
        <v>113</v>
      </c>
      <c r="AB60" s="280" t="s">
        <v>113</v>
      </c>
      <c r="AC60" s="279" t="s">
        <v>113</v>
      </c>
      <c r="AD60" s="279" t="s">
        <v>113</v>
      </c>
      <c r="AE60" s="279" t="s">
        <v>113</v>
      </c>
      <c r="AF60" s="280" t="s">
        <v>113</v>
      </c>
      <c r="AG60" s="279"/>
      <c r="AH60" s="279"/>
      <c r="AI60" s="279"/>
      <c r="AJ60" s="280"/>
      <c r="AK60" s="279" t="s">
        <v>113</v>
      </c>
      <c r="AL60" s="279" t="s">
        <v>113</v>
      </c>
      <c r="AM60" s="279" t="s">
        <v>113</v>
      </c>
      <c r="AN60" s="280" t="s">
        <v>113</v>
      </c>
      <c r="AO60" s="279" t="s">
        <v>113</v>
      </c>
      <c r="AP60" s="279" t="s">
        <v>113</v>
      </c>
      <c r="AQ60" s="825" t="s">
        <v>113</v>
      </c>
      <c r="AR60" s="280" t="s">
        <v>113</v>
      </c>
      <c r="AS60" s="279" t="s">
        <v>113</v>
      </c>
      <c r="AT60" s="279" t="s">
        <v>113</v>
      </c>
    </row>
    <row r="61" spans="1:46">
      <c r="A61" s="282" t="s">
        <v>121</v>
      </c>
      <c r="B61" s="279" t="s">
        <v>113</v>
      </c>
      <c r="C61" s="279" t="s">
        <v>113</v>
      </c>
      <c r="D61" s="279" t="s">
        <v>113</v>
      </c>
      <c r="E61" s="279">
        <v>-328</v>
      </c>
      <c r="F61" s="279" t="s">
        <v>113</v>
      </c>
      <c r="G61" s="281" t="s">
        <v>113</v>
      </c>
      <c r="H61" s="281" t="s">
        <v>113</v>
      </c>
      <c r="I61" s="281" t="s">
        <v>113</v>
      </c>
      <c r="J61" s="281" t="s">
        <v>113</v>
      </c>
      <c r="K61" s="279" t="s">
        <v>113</v>
      </c>
      <c r="M61" s="279" t="s">
        <v>113</v>
      </c>
      <c r="N61" s="279" t="s">
        <v>113</v>
      </c>
      <c r="O61" s="279" t="s">
        <v>113</v>
      </c>
      <c r="P61" s="280" t="s">
        <v>113</v>
      </c>
      <c r="Q61" s="279">
        <v>-95</v>
      </c>
      <c r="R61" s="279">
        <v>-104</v>
      </c>
      <c r="S61" s="279">
        <v>-70</v>
      </c>
      <c r="T61" s="280">
        <v>-59</v>
      </c>
      <c r="U61" s="279" t="s">
        <v>113</v>
      </c>
      <c r="V61" s="279" t="s">
        <v>113</v>
      </c>
      <c r="W61" s="279" t="s">
        <v>113</v>
      </c>
      <c r="X61" s="280" t="s">
        <v>113</v>
      </c>
      <c r="Y61" s="279" t="s">
        <v>113</v>
      </c>
      <c r="Z61" s="279" t="s">
        <v>113</v>
      </c>
      <c r="AA61" s="279" t="s">
        <v>113</v>
      </c>
      <c r="AB61" s="280" t="s">
        <v>113</v>
      </c>
      <c r="AC61" s="279" t="s">
        <v>113</v>
      </c>
      <c r="AD61" s="279" t="s">
        <v>113</v>
      </c>
      <c r="AE61" s="279" t="s">
        <v>113</v>
      </c>
      <c r="AF61" s="280" t="s">
        <v>113</v>
      </c>
      <c r="AG61" s="279"/>
      <c r="AH61" s="279"/>
      <c r="AI61" s="279"/>
      <c r="AJ61" s="280"/>
      <c r="AK61" s="279" t="s">
        <v>113</v>
      </c>
      <c r="AL61" s="279" t="s">
        <v>113</v>
      </c>
      <c r="AM61" s="279" t="s">
        <v>113</v>
      </c>
      <c r="AN61" s="280" t="s">
        <v>113</v>
      </c>
      <c r="AO61" s="279" t="s">
        <v>113</v>
      </c>
      <c r="AP61" s="279" t="s">
        <v>113</v>
      </c>
      <c r="AQ61" s="825" t="s">
        <v>113</v>
      </c>
      <c r="AR61" s="280" t="s">
        <v>113</v>
      </c>
      <c r="AS61" s="279" t="s">
        <v>113</v>
      </c>
      <c r="AT61" s="279" t="s">
        <v>113</v>
      </c>
    </row>
    <row r="62" spans="1:46" s="57" customFormat="1">
      <c r="A62" s="282" t="s">
        <v>202</v>
      </c>
      <c r="B62" s="279" t="s">
        <v>113</v>
      </c>
      <c r="C62" s="279" t="s">
        <v>113</v>
      </c>
      <c r="D62" s="279" t="s">
        <v>113</v>
      </c>
      <c r="E62" s="279" t="s">
        <v>113</v>
      </c>
      <c r="F62" s="279">
        <v>-28</v>
      </c>
      <c r="G62" s="279">
        <v>-84</v>
      </c>
      <c r="H62" s="279">
        <v>167</v>
      </c>
      <c r="I62" s="279">
        <v>-560</v>
      </c>
      <c r="J62" s="279">
        <v>287</v>
      </c>
      <c r="K62" s="279">
        <v>51</v>
      </c>
      <c r="L62" s="842"/>
      <c r="M62" s="279" t="s">
        <v>113</v>
      </c>
      <c r="N62" s="279" t="s">
        <v>113</v>
      </c>
      <c r="O62" s="279" t="s">
        <v>113</v>
      </c>
      <c r="P62" s="280" t="s">
        <v>113</v>
      </c>
      <c r="Q62" s="279" t="s">
        <v>113</v>
      </c>
      <c r="R62" s="279" t="s">
        <v>113</v>
      </c>
      <c r="S62" s="279" t="s">
        <v>113</v>
      </c>
      <c r="T62" s="280" t="s">
        <v>113</v>
      </c>
      <c r="U62" s="279" t="s">
        <v>113</v>
      </c>
      <c r="V62" s="279" t="s">
        <v>113</v>
      </c>
      <c r="W62" s="279" t="s">
        <v>113</v>
      </c>
      <c r="X62" s="280">
        <v>-28</v>
      </c>
      <c r="Y62" s="279">
        <v>-34</v>
      </c>
      <c r="Z62" s="279">
        <v>-17</v>
      </c>
      <c r="AA62" s="279">
        <v>-33</v>
      </c>
      <c r="AB62" s="280" t="s">
        <v>113</v>
      </c>
      <c r="AC62" s="279" t="s">
        <v>113</v>
      </c>
      <c r="AD62" s="279" t="s">
        <v>113</v>
      </c>
      <c r="AE62" s="279" t="s">
        <v>113</v>
      </c>
      <c r="AF62" s="280">
        <v>167</v>
      </c>
      <c r="AG62" s="279"/>
      <c r="AH62" s="279">
        <v>-422</v>
      </c>
      <c r="AI62" s="279">
        <v>-138</v>
      </c>
      <c r="AJ62" s="280"/>
      <c r="AK62" s="279" t="s">
        <v>113</v>
      </c>
      <c r="AL62" s="279" t="s">
        <v>113</v>
      </c>
      <c r="AM62" s="279">
        <v>7</v>
      </c>
      <c r="AN62" s="280">
        <v>280</v>
      </c>
      <c r="AO62" s="279" t="s">
        <v>113</v>
      </c>
      <c r="AP62" s="279">
        <v>-142</v>
      </c>
      <c r="AQ62" s="825">
        <v>208</v>
      </c>
      <c r="AR62" s="280">
        <v>-15</v>
      </c>
      <c r="AS62" s="279" t="s">
        <v>113</v>
      </c>
      <c r="AT62" s="279">
        <v>-49</v>
      </c>
    </row>
    <row r="63" spans="1:46">
      <c r="A63" s="250" t="s">
        <v>203</v>
      </c>
      <c r="B63" s="279" t="s">
        <v>113</v>
      </c>
      <c r="C63" s="279" t="s">
        <v>113</v>
      </c>
      <c r="D63" s="279" t="s">
        <v>113</v>
      </c>
      <c r="E63" s="279" t="s">
        <v>113</v>
      </c>
      <c r="F63" s="279">
        <v>-196</v>
      </c>
      <c r="G63" s="279">
        <v>-104</v>
      </c>
      <c r="H63" s="281" t="s">
        <v>113</v>
      </c>
      <c r="I63" s="281">
        <v>-85</v>
      </c>
      <c r="J63" s="281">
        <v>-158</v>
      </c>
      <c r="K63" s="279">
        <v>-290</v>
      </c>
      <c r="L63" s="842"/>
      <c r="M63" s="279" t="s">
        <v>113</v>
      </c>
      <c r="N63" s="279" t="s">
        <v>113</v>
      </c>
      <c r="O63" s="279" t="s">
        <v>113</v>
      </c>
      <c r="P63" s="280" t="s">
        <v>113</v>
      </c>
      <c r="Q63" s="279" t="s">
        <v>113</v>
      </c>
      <c r="R63" s="279" t="s">
        <v>113</v>
      </c>
      <c r="S63" s="279" t="s">
        <v>113</v>
      </c>
      <c r="T63" s="280" t="s">
        <v>113</v>
      </c>
      <c r="U63" s="279" t="s">
        <v>113</v>
      </c>
      <c r="V63" s="279" t="s">
        <v>113</v>
      </c>
      <c r="W63" s="279">
        <v>-179</v>
      </c>
      <c r="X63" s="280">
        <v>-17</v>
      </c>
      <c r="Y63" s="279">
        <v>-10</v>
      </c>
      <c r="Z63" s="279">
        <v>-57</v>
      </c>
      <c r="AA63" s="279">
        <v>-22</v>
      </c>
      <c r="AB63" s="280">
        <v>-15</v>
      </c>
      <c r="AC63" s="279" t="s">
        <v>113</v>
      </c>
      <c r="AD63" s="279" t="s">
        <v>113</v>
      </c>
      <c r="AE63" s="279" t="s">
        <v>113</v>
      </c>
      <c r="AF63" s="280" t="s">
        <v>113</v>
      </c>
      <c r="AG63" s="279"/>
      <c r="AH63" s="279">
        <v>-73</v>
      </c>
      <c r="AI63" s="279">
        <v>-12</v>
      </c>
      <c r="AJ63" s="280"/>
      <c r="AK63" s="279" t="s">
        <v>113</v>
      </c>
      <c r="AL63" s="279" t="s">
        <v>113</v>
      </c>
      <c r="AM63" s="279" t="s">
        <v>113</v>
      </c>
      <c r="AN63" s="280">
        <v>-158</v>
      </c>
      <c r="AO63" s="279">
        <v>-125</v>
      </c>
      <c r="AP63" s="279">
        <v>-165</v>
      </c>
      <c r="AQ63" s="825" t="s">
        <v>113</v>
      </c>
      <c r="AR63" s="280" t="s">
        <v>113</v>
      </c>
      <c r="AS63" s="279" t="s">
        <v>113</v>
      </c>
      <c r="AT63" s="279">
        <v>-98</v>
      </c>
    </row>
    <row r="64" spans="1:46" ht="10.5">
      <c r="A64" s="258" t="s">
        <v>35</v>
      </c>
      <c r="B64" s="283"/>
      <c r="C64" s="283"/>
      <c r="D64" s="259">
        <v>-163</v>
      </c>
      <c r="E64" s="259">
        <v>-394</v>
      </c>
      <c r="F64" s="259">
        <v>-446</v>
      </c>
      <c r="G64" s="259">
        <v>-287</v>
      </c>
      <c r="H64" s="259">
        <v>-103</v>
      </c>
      <c r="I64" s="259">
        <v>-608</v>
      </c>
      <c r="J64" s="259">
        <v>66</v>
      </c>
      <c r="K64" s="283">
        <v>-239</v>
      </c>
      <c r="M64" s="259">
        <v>-45</v>
      </c>
      <c r="N64" s="259">
        <v>-53</v>
      </c>
      <c r="O64" s="259">
        <v>-15</v>
      </c>
      <c r="P64" s="260">
        <v>-50</v>
      </c>
      <c r="Q64" s="259">
        <v>-95</v>
      </c>
      <c r="R64" s="259">
        <v>-181</v>
      </c>
      <c r="S64" s="259">
        <v>-126</v>
      </c>
      <c r="T64" s="260">
        <v>8</v>
      </c>
      <c r="U64" s="259">
        <v>-59</v>
      </c>
      <c r="V64" s="259">
        <v>-39</v>
      </c>
      <c r="W64" s="259">
        <v>-233</v>
      </c>
      <c r="X64" s="260">
        <v>-115</v>
      </c>
      <c r="Y64" s="259">
        <v>21</v>
      </c>
      <c r="Z64" s="259">
        <v>-164.6</v>
      </c>
      <c r="AA64" s="259">
        <v>-75.8</v>
      </c>
      <c r="AB64" s="260">
        <v>-67</v>
      </c>
      <c r="AC64" s="259">
        <v>-149</v>
      </c>
      <c r="AD64" s="259">
        <v>-15</v>
      </c>
      <c r="AE64" s="259">
        <v>21</v>
      </c>
      <c r="AF64" s="260">
        <v>40</v>
      </c>
      <c r="AG64" s="259">
        <v>43</v>
      </c>
      <c r="AH64" s="259">
        <v>-420</v>
      </c>
      <c r="AI64" s="259">
        <v>-164</v>
      </c>
      <c r="AJ64" s="260">
        <v>-67</v>
      </c>
      <c r="AK64" s="259">
        <v>-26</v>
      </c>
      <c r="AL64" s="259">
        <v>-16</v>
      </c>
      <c r="AM64" s="259">
        <v>-12</v>
      </c>
      <c r="AN64" s="260">
        <v>120</v>
      </c>
      <c r="AO64" s="259">
        <v>-127</v>
      </c>
      <c r="AP64" s="259">
        <v>-325</v>
      </c>
      <c r="AQ64" s="259">
        <v>191</v>
      </c>
      <c r="AR64" s="260">
        <v>22</v>
      </c>
      <c r="AS64" s="259">
        <v>-11</v>
      </c>
      <c r="AT64" s="259">
        <v>-153</v>
      </c>
    </row>
    <row r="65" spans="1:47" ht="10.5">
      <c r="A65" s="244"/>
      <c r="B65" s="277"/>
      <c r="C65" s="277"/>
      <c r="D65" s="277"/>
      <c r="E65" s="277"/>
      <c r="F65" s="277"/>
      <c r="G65" s="277"/>
      <c r="H65" s="277"/>
      <c r="I65" s="277"/>
      <c r="J65" s="277"/>
      <c r="K65" s="277"/>
      <c r="M65" s="277"/>
      <c r="N65" s="277"/>
      <c r="O65" s="277"/>
      <c r="P65" s="278"/>
      <c r="Q65" s="277"/>
      <c r="R65" s="277"/>
      <c r="S65" s="277"/>
      <c r="T65" s="278"/>
      <c r="U65" s="277"/>
      <c r="V65" s="277"/>
      <c r="W65" s="277"/>
      <c r="X65" s="278"/>
      <c r="Y65" s="277"/>
      <c r="Z65" s="277"/>
      <c r="AA65" s="277"/>
      <c r="AB65" s="278"/>
      <c r="AC65" s="277"/>
      <c r="AD65" s="277"/>
      <c r="AE65" s="277"/>
      <c r="AF65" s="278"/>
      <c r="AG65" s="277"/>
      <c r="AH65" s="277"/>
      <c r="AI65" s="277"/>
      <c r="AJ65" s="278"/>
      <c r="AK65" s="277"/>
      <c r="AL65" s="277"/>
      <c r="AM65" s="277"/>
      <c r="AN65" s="278"/>
      <c r="AO65" s="277"/>
      <c r="AP65" s="277"/>
      <c r="AQ65" s="277"/>
      <c r="AR65" s="278"/>
      <c r="AS65" s="277"/>
      <c r="AT65" s="277"/>
    </row>
    <row r="66" spans="1:47" ht="10.5">
      <c r="A66" s="589" t="s">
        <v>880</v>
      </c>
      <c r="B66" s="248">
        <v>2015</v>
      </c>
      <c r="C66" s="248">
        <v>2016</v>
      </c>
      <c r="D66" s="248">
        <v>2017</v>
      </c>
      <c r="E66" s="248">
        <v>2018</v>
      </c>
      <c r="F66" s="248">
        <v>2019</v>
      </c>
      <c r="G66" s="248">
        <v>2020</v>
      </c>
      <c r="H66" s="248">
        <v>2021</v>
      </c>
      <c r="I66" s="248">
        <v>2022</v>
      </c>
      <c r="J66" s="248">
        <v>2023</v>
      </c>
      <c r="K66" s="248">
        <v>2024</v>
      </c>
      <c r="M66" s="248" t="s">
        <v>769</v>
      </c>
      <c r="N66" s="248" t="s">
        <v>770</v>
      </c>
      <c r="O66" s="248" t="s">
        <v>771</v>
      </c>
      <c r="P66" s="249" t="s">
        <v>772</v>
      </c>
      <c r="Q66" s="248" t="s">
        <v>764</v>
      </c>
      <c r="R66" s="248" t="s">
        <v>765</v>
      </c>
      <c r="S66" s="248" t="s">
        <v>766</v>
      </c>
      <c r="T66" s="249" t="s">
        <v>767</v>
      </c>
      <c r="U66" s="248" t="s">
        <v>768</v>
      </c>
      <c r="V66" s="248" t="s">
        <v>730</v>
      </c>
      <c r="W66" s="248" t="s">
        <v>731</v>
      </c>
      <c r="X66" s="249" t="s">
        <v>732</v>
      </c>
      <c r="Y66" s="248" t="s">
        <v>733</v>
      </c>
      <c r="Z66" s="248" t="s">
        <v>626</v>
      </c>
      <c r="AA66" s="248" t="s">
        <v>620</v>
      </c>
      <c r="AB66" s="249" t="s">
        <v>619</v>
      </c>
      <c r="AC66" s="248" t="s">
        <v>614</v>
      </c>
      <c r="AD66" s="248" t="s">
        <v>604</v>
      </c>
      <c r="AE66" s="248" t="s">
        <v>589</v>
      </c>
      <c r="AF66" s="249" t="s">
        <v>587</v>
      </c>
      <c r="AG66" s="248" t="s">
        <v>504</v>
      </c>
      <c r="AH66" s="248" t="s">
        <v>551</v>
      </c>
      <c r="AI66" s="248" t="s">
        <v>532</v>
      </c>
      <c r="AJ66" s="249" t="s">
        <v>530</v>
      </c>
      <c r="AK66" s="248" t="s">
        <v>803</v>
      </c>
      <c r="AL66" s="248" t="s">
        <v>812</v>
      </c>
      <c r="AM66" s="248" t="s">
        <v>816</v>
      </c>
      <c r="AN66" s="249" t="s">
        <v>835</v>
      </c>
      <c r="AO66" s="248" t="s">
        <v>872</v>
      </c>
      <c r="AP66" s="248" t="s">
        <v>986</v>
      </c>
      <c r="AQ66" s="248" t="s">
        <v>1016</v>
      </c>
      <c r="AR66" s="249" t="s">
        <v>1039</v>
      </c>
      <c r="AS66" s="248" t="s">
        <v>1076</v>
      </c>
      <c r="AT66" s="248" t="s">
        <v>1285</v>
      </c>
    </row>
    <row r="67" spans="1:47">
      <c r="A67" s="250" t="s">
        <v>73</v>
      </c>
      <c r="B67" s="265">
        <v>4370</v>
      </c>
      <c r="C67" s="265">
        <v>3802</v>
      </c>
      <c r="D67" s="265">
        <v>5107</v>
      </c>
      <c r="E67" s="265">
        <v>6713</v>
      </c>
      <c r="F67" s="265">
        <v>7464</v>
      </c>
      <c r="G67" s="265">
        <v>6723</v>
      </c>
      <c r="H67" s="265">
        <v>7641</v>
      </c>
      <c r="I67" s="559">
        <f>I45-I62</f>
        <v>10051</v>
      </c>
      <c r="J67" s="265">
        <f>J45-J62</f>
        <v>11505</v>
      </c>
      <c r="K67" s="265">
        <v>11259</v>
      </c>
      <c r="L67" s="350"/>
      <c r="M67" s="265">
        <v>1166</v>
      </c>
      <c r="N67" s="265">
        <v>1242</v>
      </c>
      <c r="O67" s="265">
        <v>1261</v>
      </c>
      <c r="P67" s="266">
        <v>1438</v>
      </c>
      <c r="Q67" s="265">
        <v>1351</v>
      </c>
      <c r="R67" s="265">
        <v>1741</v>
      </c>
      <c r="S67" s="265">
        <v>1755</v>
      </c>
      <c r="T67" s="266">
        <v>1866</v>
      </c>
      <c r="U67" s="265">
        <v>1707</v>
      </c>
      <c r="V67" s="265">
        <v>1961</v>
      </c>
      <c r="W67" s="265">
        <v>1923</v>
      </c>
      <c r="X67" s="266">
        <v>1873</v>
      </c>
      <c r="Y67" s="265">
        <v>1620</v>
      </c>
      <c r="Z67" s="265">
        <v>1458</v>
      </c>
      <c r="AA67" s="265">
        <v>1679</v>
      </c>
      <c r="AB67" s="266">
        <v>1966</v>
      </c>
      <c r="AC67" s="265">
        <v>1696</v>
      </c>
      <c r="AD67" s="265">
        <v>1880</v>
      </c>
      <c r="AE67" s="265">
        <v>1909</v>
      </c>
      <c r="AF67" s="266">
        <v>2156</v>
      </c>
      <c r="AG67" s="559">
        <f t="shared" ref="AG67:AJ68" si="8">AG45-AG62</f>
        <v>2188</v>
      </c>
      <c r="AH67" s="559">
        <f t="shared" si="8"/>
        <v>2377</v>
      </c>
      <c r="AI67" s="559">
        <f t="shared" si="8"/>
        <v>2612</v>
      </c>
      <c r="AJ67" s="565">
        <f t="shared" si="8"/>
        <v>2874</v>
      </c>
      <c r="AK67" s="265">
        <v>2718</v>
      </c>
      <c r="AL67" s="265">
        <v>2995</v>
      </c>
      <c r="AM67" s="265">
        <v>2861</v>
      </c>
      <c r="AN67" s="266">
        <v>2931</v>
      </c>
      <c r="AO67" s="265">
        <v>2503</v>
      </c>
      <c r="AP67" s="265">
        <v>2905</v>
      </c>
      <c r="AQ67" s="265">
        <v>2715</v>
      </c>
      <c r="AR67" s="266">
        <v>3136</v>
      </c>
      <c r="AS67" s="265">
        <v>2724</v>
      </c>
      <c r="AT67" s="265">
        <v>2626</v>
      </c>
      <c r="AU67" s="58"/>
    </row>
    <row r="68" spans="1:47">
      <c r="A68" s="250" t="s">
        <v>71</v>
      </c>
      <c r="B68" s="265">
        <v>957</v>
      </c>
      <c r="C68" s="265">
        <v>937</v>
      </c>
      <c r="D68" s="265">
        <v>1146.0051558893001</v>
      </c>
      <c r="E68" s="265">
        <v>1239</v>
      </c>
      <c r="F68" s="265">
        <v>1448</v>
      </c>
      <c r="G68" s="265">
        <v>1201</v>
      </c>
      <c r="H68" s="265">
        <v>1784</v>
      </c>
      <c r="I68" s="559">
        <f>I46-I63</f>
        <v>1985</v>
      </c>
      <c r="J68" s="265">
        <f>J46-J63</f>
        <v>1938</v>
      </c>
      <c r="K68" s="265">
        <v>1663</v>
      </c>
      <c r="L68" s="350"/>
      <c r="M68" s="265">
        <v>321</v>
      </c>
      <c r="N68" s="265">
        <v>328</v>
      </c>
      <c r="O68" s="265">
        <v>279</v>
      </c>
      <c r="P68" s="266">
        <v>218.0051558893</v>
      </c>
      <c r="Q68" s="265">
        <v>287</v>
      </c>
      <c r="R68" s="265">
        <v>304</v>
      </c>
      <c r="S68" s="265">
        <v>324</v>
      </c>
      <c r="T68" s="266">
        <v>324</v>
      </c>
      <c r="U68" s="265">
        <v>371</v>
      </c>
      <c r="V68" s="265">
        <v>429</v>
      </c>
      <c r="W68" s="265">
        <v>336</v>
      </c>
      <c r="X68" s="266">
        <v>312</v>
      </c>
      <c r="Y68" s="265">
        <v>347</v>
      </c>
      <c r="Z68" s="265">
        <v>200</v>
      </c>
      <c r="AA68" s="265">
        <v>276</v>
      </c>
      <c r="AB68" s="266">
        <v>378</v>
      </c>
      <c r="AC68" s="265">
        <v>386</v>
      </c>
      <c r="AD68" s="265">
        <v>416</v>
      </c>
      <c r="AE68" s="265">
        <v>502</v>
      </c>
      <c r="AF68" s="266">
        <v>480</v>
      </c>
      <c r="AG68" s="559">
        <f t="shared" si="8"/>
        <v>474</v>
      </c>
      <c r="AH68" s="559">
        <f t="shared" si="8"/>
        <v>509</v>
      </c>
      <c r="AI68" s="559">
        <f t="shared" si="8"/>
        <v>526</v>
      </c>
      <c r="AJ68" s="560">
        <f t="shared" si="8"/>
        <v>476</v>
      </c>
      <c r="AK68" s="265">
        <v>532</v>
      </c>
      <c r="AL68" s="265">
        <v>524</v>
      </c>
      <c r="AM68" s="265">
        <v>481</v>
      </c>
      <c r="AN68" s="266">
        <v>401</v>
      </c>
      <c r="AO68" s="265">
        <v>460</v>
      </c>
      <c r="AP68" s="265">
        <v>448</v>
      </c>
      <c r="AQ68" s="265">
        <v>429</v>
      </c>
      <c r="AR68" s="266">
        <v>326</v>
      </c>
      <c r="AS68" s="265">
        <v>461</v>
      </c>
      <c r="AT68" s="265">
        <v>474</v>
      </c>
    </row>
    <row r="69" spans="1:47" ht="10.5">
      <c r="A69" s="258" t="s">
        <v>35</v>
      </c>
      <c r="B69" s="259">
        <v>5175</v>
      </c>
      <c r="C69" s="259">
        <v>4548</v>
      </c>
      <c r="D69" s="259">
        <v>6093.0051558893001</v>
      </c>
      <c r="E69" s="259">
        <v>7779</v>
      </c>
      <c r="F69" s="259">
        <v>8582</v>
      </c>
      <c r="G69" s="259">
        <v>7669</v>
      </c>
      <c r="H69" s="259">
        <v>9098</v>
      </c>
      <c r="I69" s="259">
        <v>11755</v>
      </c>
      <c r="J69" s="259">
        <v>13117</v>
      </c>
      <c r="K69" s="259">
        <v>12624</v>
      </c>
      <c r="L69" s="844">
        <f>(K69-J69)/J69</f>
        <v>-3.7584813600670883E-2</v>
      </c>
      <c r="M69" s="259">
        <v>1459</v>
      </c>
      <c r="N69" s="259">
        <v>1521</v>
      </c>
      <c r="O69" s="259">
        <v>1535</v>
      </c>
      <c r="P69" s="260">
        <v>1578.0051558893001</v>
      </c>
      <c r="Q69" s="259">
        <v>1610</v>
      </c>
      <c r="R69" s="259">
        <v>1991</v>
      </c>
      <c r="S69" s="259">
        <v>2024</v>
      </c>
      <c r="T69" s="260">
        <v>2154</v>
      </c>
      <c r="U69" s="259">
        <v>1989</v>
      </c>
      <c r="V69" s="259">
        <v>2302</v>
      </c>
      <c r="W69" s="259">
        <v>2160</v>
      </c>
      <c r="X69" s="260">
        <v>2131</v>
      </c>
      <c r="Y69" s="259">
        <v>1911</v>
      </c>
      <c r="Z69" s="259">
        <v>1582.6</v>
      </c>
      <c r="AA69" s="259">
        <v>1895.8</v>
      </c>
      <c r="AB69" s="260">
        <v>2279</v>
      </c>
      <c r="AC69" s="259">
        <v>2016</v>
      </c>
      <c r="AD69" s="259">
        <v>2197</v>
      </c>
      <c r="AE69" s="259">
        <v>2331</v>
      </c>
      <c r="AF69" s="260">
        <v>2554</v>
      </c>
      <c r="AG69" s="259">
        <v>2588</v>
      </c>
      <c r="AH69" s="259">
        <v>2801</v>
      </c>
      <c r="AI69" s="259">
        <v>3064</v>
      </c>
      <c r="AJ69" s="260">
        <v>3302</v>
      </c>
      <c r="AK69" s="259">
        <v>3187</v>
      </c>
      <c r="AL69" s="259">
        <v>3429</v>
      </c>
      <c r="AM69" s="259">
        <v>3272</v>
      </c>
      <c r="AN69" s="260">
        <v>3229</v>
      </c>
      <c r="AO69" s="259">
        <v>2887</v>
      </c>
      <c r="AP69" s="259">
        <v>3246</v>
      </c>
      <c r="AQ69" s="259">
        <v>3086</v>
      </c>
      <c r="AR69" s="260">
        <v>3405</v>
      </c>
      <c r="AS69" s="259">
        <v>3099</v>
      </c>
      <c r="AT69" s="259">
        <v>2984</v>
      </c>
    </row>
    <row r="70" spans="1:47" ht="10.5">
      <c r="A70" s="244"/>
      <c r="B70" s="261"/>
      <c r="C70" s="261"/>
      <c r="D70" s="261"/>
      <c r="E70" s="261"/>
      <c r="F70" s="261"/>
      <c r="G70" s="261"/>
      <c r="H70" s="261"/>
      <c r="I70" s="261"/>
      <c r="J70" s="261"/>
      <c r="K70" s="261"/>
      <c r="L70" s="844"/>
      <c r="M70" s="261"/>
      <c r="N70" s="261"/>
      <c r="O70" s="261"/>
      <c r="P70" s="262"/>
      <c r="Q70" s="261"/>
      <c r="R70" s="261"/>
      <c r="S70" s="261"/>
      <c r="T70" s="262"/>
      <c r="U70" s="261"/>
      <c r="V70" s="261"/>
      <c r="W70" s="261"/>
      <c r="X70" s="262"/>
      <c r="Y70" s="261"/>
      <c r="Z70" s="261"/>
      <c r="AA70" s="267"/>
      <c r="AB70" s="262"/>
      <c r="AC70" s="261"/>
      <c r="AD70" s="261"/>
      <c r="AE70" s="267"/>
      <c r="AF70" s="262"/>
      <c r="AG70" s="261"/>
      <c r="AH70" s="261"/>
      <c r="AI70" s="267"/>
      <c r="AJ70" s="262"/>
      <c r="AK70" s="261"/>
      <c r="AL70" s="261"/>
      <c r="AM70" s="267"/>
      <c r="AN70" s="262"/>
      <c r="AO70" s="261"/>
      <c r="AP70" s="261"/>
      <c r="AQ70" s="267"/>
      <c r="AR70" s="262"/>
      <c r="AS70" s="261"/>
      <c r="AT70" s="261"/>
    </row>
    <row r="71" spans="1:47" ht="10.5">
      <c r="A71" s="244"/>
      <c r="B71" s="277"/>
      <c r="C71" s="277"/>
      <c r="D71" s="277"/>
      <c r="E71" s="277"/>
      <c r="F71" s="277"/>
      <c r="G71" s="277"/>
      <c r="H71" s="277"/>
      <c r="I71" s="277"/>
      <c r="J71" s="277"/>
      <c r="K71" s="277"/>
      <c r="M71" s="277"/>
      <c r="N71" s="277"/>
      <c r="O71" s="277"/>
      <c r="P71" s="278"/>
      <c r="Q71" s="277"/>
      <c r="R71" s="277"/>
      <c r="S71" s="277"/>
      <c r="T71" s="278"/>
      <c r="U71" s="277"/>
      <c r="V71" s="277"/>
      <c r="W71" s="277"/>
      <c r="X71" s="278"/>
      <c r="Y71" s="277"/>
      <c r="Z71" s="277"/>
      <c r="AA71" s="835"/>
      <c r="AB71" s="278"/>
      <c r="AC71" s="439"/>
      <c r="AD71" s="439"/>
      <c r="AE71" s="835"/>
      <c r="AF71" s="278"/>
      <c r="AG71" s="439"/>
      <c r="AH71" s="277"/>
      <c r="AI71" s="835"/>
      <c r="AJ71" s="278"/>
      <c r="AK71" s="439"/>
      <c r="AL71" s="439"/>
      <c r="AM71" s="835"/>
      <c r="AN71" s="278"/>
      <c r="AO71" s="439"/>
      <c r="AP71" s="439"/>
      <c r="AQ71" s="835"/>
      <c r="AR71" s="278"/>
      <c r="AS71" s="439"/>
      <c r="AT71" s="439"/>
    </row>
    <row r="72" spans="1:47" ht="10.5">
      <c r="A72" s="589" t="s">
        <v>881</v>
      </c>
      <c r="B72" s="248">
        <v>2015</v>
      </c>
      <c r="C72" s="248">
        <v>2016</v>
      </c>
      <c r="D72" s="248">
        <v>2017</v>
      </c>
      <c r="E72" s="248">
        <v>2018</v>
      </c>
      <c r="F72" s="248">
        <v>2019</v>
      </c>
      <c r="G72" s="248">
        <v>2020</v>
      </c>
      <c r="H72" s="248">
        <v>2021</v>
      </c>
      <c r="I72" s="248">
        <v>2022</v>
      </c>
      <c r="J72" s="248">
        <v>2023</v>
      </c>
      <c r="K72" s="248">
        <v>2024</v>
      </c>
      <c r="M72" s="248" t="s">
        <v>769</v>
      </c>
      <c r="N72" s="248" t="s">
        <v>770</v>
      </c>
      <c r="O72" s="248" t="s">
        <v>771</v>
      </c>
      <c r="P72" s="249" t="s">
        <v>772</v>
      </c>
      <c r="Q72" s="248" t="s">
        <v>764</v>
      </c>
      <c r="R72" s="248" t="s">
        <v>765</v>
      </c>
      <c r="S72" s="248" t="s">
        <v>766</v>
      </c>
      <c r="T72" s="249" t="s">
        <v>767</v>
      </c>
      <c r="U72" s="248" t="s">
        <v>768</v>
      </c>
      <c r="V72" s="248" t="s">
        <v>730</v>
      </c>
      <c r="W72" s="248" t="s">
        <v>731</v>
      </c>
      <c r="X72" s="249" t="s">
        <v>732</v>
      </c>
      <c r="Y72" s="248" t="s">
        <v>733</v>
      </c>
      <c r="Z72" s="248" t="s">
        <v>626</v>
      </c>
      <c r="AA72" s="248" t="s">
        <v>620</v>
      </c>
      <c r="AB72" s="249" t="s">
        <v>619</v>
      </c>
      <c r="AC72" s="248" t="s">
        <v>614</v>
      </c>
      <c r="AD72" s="248" t="s">
        <v>604</v>
      </c>
      <c r="AE72" s="248" t="s">
        <v>589</v>
      </c>
      <c r="AF72" s="249" t="s">
        <v>587</v>
      </c>
      <c r="AG72" s="248" t="s">
        <v>504</v>
      </c>
      <c r="AH72" s="248" t="s">
        <v>551</v>
      </c>
      <c r="AI72" s="248" t="s">
        <v>532</v>
      </c>
      <c r="AJ72" s="249" t="s">
        <v>530</v>
      </c>
      <c r="AK72" s="248" t="s">
        <v>803</v>
      </c>
      <c r="AL72" s="248" t="s">
        <v>812</v>
      </c>
      <c r="AM72" s="248" t="s">
        <v>816</v>
      </c>
      <c r="AN72" s="249" t="s">
        <v>835</v>
      </c>
      <c r="AO72" s="248" t="s">
        <v>872</v>
      </c>
      <c r="AP72" s="248" t="s">
        <v>986</v>
      </c>
      <c r="AQ72" s="248" t="s">
        <v>1016</v>
      </c>
      <c r="AR72" s="249" t="s">
        <v>1039</v>
      </c>
      <c r="AS72" s="248" t="s">
        <v>1076</v>
      </c>
      <c r="AT72" s="248" t="s">
        <v>1285</v>
      </c>
    </row>
    <row r="73" spans="1:47">
      <c r="A73" s="282" t="s">
        <v>726</v>
      </c>
      <c r="B73" s="271">
        <v>0.21509081065117883</v>
      </c>
      <c r="C73" s="271">
        <v>0.20118531061487988</v>
      </c>
      <c r="D73" s="286">
        <v>0.22816423178304965</v>
      </c>
      <c r="E73" s="271">
        <v>0.23524877365101612</v>
      </c>
      <c r="F73" s="270">
        <v>0.25</v>
      </c>
      <c r="G73" s="270">
        <v>0.25</v>
      </c>
      <c r="H73" s="270">
        <f>H67/H18</f>
        <v>0.26060709413369715</v>
      </c>
      <c r="I73" s="561">
        <f>I67/I18</f>
        <v>0.25835389677154019</v>
      </c>
      <c r="J73" s="270">
        <f>J67/J18</f>
        <v>0.24205764780138861</v>
      </c>
      <c r="K73" s="270">
        <f>K67/K18</f>
        <v>0.2301794987120252</v>
      </c>
      <c r="M73" s="270">
        <v>0.223</v>
      </c>
      <c r="N73" s="270">
        <v>0.22600000000000001</v>
      </c>
      <c r="O73" s="270">
        <v>0.23300000000000001</v>
      </c>
      <c r="P73" s="272">
        <v>0.23</v>
      </c>
      <c r="Q73" s="270">
        <v>0.22700000000000001</v>
      </c>
      <c r="R73" s="270">
        <v>0.23799999999999999</v>
      </c>
      <c r="S73" s="270">
        <v>0.245</v>
      </c>
      <c r="T73" s="272">
        <v>0.23100000000000001</v>
      </c>
      <c r="U73" s="270">
        <v>0.24</v>
      </c>
      <c r="V73" s="270">
        <v>0.255</v>
      </c>
      <c r="W73" s="270">
        <v>0.26200000000000001</v>
      </c>
      <c r="X73" s="272">
        <v>0.24199999999999999</v>
      </c>
      <c r="Y73" s="270">
        <v>0.246</v>
      </c>
      <c r="Z73" s="270">
        <v>0.22709436312675199</v>
      </c>
      <c r="AA73" s="270">
        <v>0.259465306753207</v>
      </c>
      <c r="AB73" s="272">
        <v>0.26400000000000001</v>
      </c>
      <c r="AC73" s="270">
        <v>0.26500000000000001</v>
      </c>
      <c r="AD73" s="270">
        <v>0.26200000000000001</v>
      </c>
      <c r="AE73" s="270">
        <v>0.26400000000000001</v>
      </c>
      <c r="AF73" s="272">
        <v>0.254</v>
      </c>
      <c r="AG73" s="561">
        <f>AG67/AG18</f>
        <v>0.25786682380671772</v>
      </c>
      <c r="AH73" s="561">
        <f>AH67/AH18</f>
        <v>0.26236203090507726</v>
      </c>
      <c r="AI73" s="561">
        <f>AI67/AI18</f>
        <v>0.25938430983118171</v>
      </c>
      <c r="AJ73" s="562">
        <f>AJ67/AJ18</f>
        <v>0.25458410842412971</v>
      </c>
      <c r="AK73" s="270">
        <v>0.25323767818876403</v>
      </c>
      <c r="AL73" s="270">
        <v>0.23899999999999999</v>
      </c>
      <c r="AM73" s="270">
        <v>0.243925313325944</v>
      </c>
      <c r="AN73" s="272">
        <v>0.23339703774486401</v>
      </c>
      <c r="AO73" s="270">
        <v>0.22324295397788099</v>
      </c>
      <c r="AP73" s="270">
        <v>0.23210290827740501</v>
      </c>
      <c r="AQ73" s="270">
        <v>0.22863157894736799</v>
      </c>
      <c r="AR73" s="272">
        <v>0.23559462099015899</v>
      </c>
      <c r="AS73" s="989" t="s">
        <v>1269</v>
      </c>
      <c r="AT73" s="270">
        <v>0.229645824223874</v>
      </c>
    </row>
    <row r="74" spans="1:47">
      <c r="A74" s="42" t="s">
        <v>206</v>
      </c>
      <c r="B74" s="270">
        <v>0.11832344213649852</v>
      </c>
      <c r="C74" s="270">
        <v>0.11823343848580442</v>
      </c>
      <c r="D74" s="286">
        <v>0.13114847827369075</v>
      </c>
      <c r="E74" s="270">
        <v>0.13011790000000001</v>
      </c>
      <c r="F74" s="270">
        <v>0.13400000000000001</v>
      </c>
      <c r="G74" s="270">
        <v>0.13284879315943299</v>
      </c>
      <c r="H74" s="270">
        <f>H68/H21</f>
        <v>0.17481626653601176</v>
      </c>
      <c r="I74" s="561">
        <f>I68/I21</f>
        <v>0.18369424393855266</v>
      </c>
      <c r="J74" s="270">
        <f>J68/J21</f>
        <v>0.15232256543268097</v>
      </c>
      <c r="K74" s="270">
        <f>K68/K21</f>
        <v>0.11359289617486339</v>
      </c>
      <c r="M74" s="270">
        <v>0.14799999999999999</v>
      </c>
      <c r="N74" s="270">
        <v>0.14299999999999999</v>
      </c>
      <c r="O74" s="270">
        <v>0.13</v>
      </c>
      <c r="P74" s="272">
        <v>0.10199999999999999</v>
      </c>
      <c r="Q74" s="270">
        <v>0.12767809999999999</v>
      </c>
      <c r="R74" s="270">
        <v>0.124</v>
      </c>
      <c r="S74" s="270">
        <v>0.13600000000000001</v>
      </c>
      <c r="T74" s="272">
        <v>0.13300000000000001</v>
      </c>
      <c r="U74" s="270">
        <v>0.14237610000000001</v>
      </c>
      <c r="V74" s="270">
        <v>0.14599999999999999</v>
      </c>
      <c r="W74" s="270">
        <v>0.122</v>
      </c>
      <c r="X74" s="272">
        <v>0.125</v>
      </c>
      <c r="Y74" s="270">
        <v>0.13900000000000001</v>
      </c>
      <c r="Z74" s="270">
        <v>9.7985257985258006E-2</v>
      </c>
      <c r="AA74" s="270">
        <v>0.12568306010929001</v>
      </c>
      <c r="AB74" s="272">
        <v>0.16500000000000001</v>
      </c>
      <c r="AC74" s="270">
        <v>0.16500000000000001</v>
      </c>
      <c r="AD74" s="270">
        <v>0.16500000000000001</v>
      </c>
      <c r="AE74" s="270">
        <v>0.186</v>
      </c>
      <c r="AF74" s="272">
        <v>0.182</v>
      </c>
      <c r="AG74" s="561">
        <f>AG68/AG21</f>
        <v>0.18315301391035549</v>
      </c>
      <c r="AH74" s="561">
        <f>AH68/AH21</f>
        <v>0.18217609162491052</v>
      </c>
      <c r="AI74" s="561">
        <f>AI68/AI21</f>
        <v>0.19402434526005163</v>
      </c>
      <c r="AJ74" s="566">
        <f>AJ68/AJ21</f>
        <v>0.17545152967194988</v>
      </c>
      <c r="AK74" s="270">
        <v>0.17024</v>
      </c>
      <c r="AL74" s="270">
        <v>0.153</v>
      </c>
      <c r="AM74" s="270">
        <v>0.15054773082942099</v>
      </c>
      <c r="AN74" s="272">
        <v>0.134338358458961</v>
      </c>
      <c r="AO74" s="270">
        <v>0.15598507968802999</v>
      </c>
      <c r="AP74" s="270">
        <v>0.11225256827862699</v>
      </c>
      <c r="AQ74" s="270">
        <v>0.112627986348123</v>
      </c>
      <c r="AR74" s="272">
        <v>8.3783089180159295E-2</v>
      </c>
      <c r="AS74" s="989" t="s">
        <v>1270</v>
      </c>
      <c r="AT74" s="270">
        <v>0.129331514324693</v>
      </c>
    </row>
    <row r="75" spans="1:47" s="725" customFormat="1" ht="10.5">
      <c r="A75" s="258" t="s">
        <v>887</v>
      </c>
      <c r="B75" s="709">
        <v>0.18054634895161009</v>
      </c>
      <c r="C75" s="709">
        <v>0.16781049369050255</v>
      </c>
      <c r="D75" s="709">
        <v>0.19426594412314713</v>
      </c>
      <c r="E75" s="709">
        <v>0.20318662661616821</v>
      </c>
      <c r="F75" s="709">
        <v>0.21009082229675144</v>
      </c>
      <c r="G75" s="709">
        <v>0.21230828857759815</v>
      </c>
      <c r="H75" s="709">
        <v>0.22900000000000001</v>
      </c>
      <c r="I75" s="709">
        <v>0.23699999999999999</v>
      </c>
      <c r="J75" s="709">
        <v>0.217</v>
      </c>
      <c r="K75" s="709">
        <v>0.19800000000000001</v>
      </c>
      <c r="L75" s="723"/>
      <c r="M75" s="709">
        <v>0.19686294329831355</v>
      </c>
      <c r="N75" s="709">
        <v>0.19304480263992893</v>
      </c>
      <c r="O75" s="709">
        <v>0.20170827858081472</v>
      </c>
      <c r="P75" s="724">
        <v>0.18643728212302696</v>
      </c>
      <c r="Q75" s="709">
        <v>0.19600000000000001</v>
      </c>
      <c r="R75" s="709">
        <v>0.20200000000000001</v>
      </c>
      <c r="S75" s="709">
        <v>0.21</v>
      </c>
      <c r="T75" s="724">
        <v>0.20399999999999999</v>
      </c>
      <c r="U75" s="709">
        <v>0.20327031170158405</v>
      </c>
      <c r="V75" s="709">
        <v>0.21663843402973837</v>
      </c>
      <c r="W75" s="709">
        <v>0.21264028352037803</v>
      </c>
      <c r="X75" s="724">
        <v>0.20729571984435799</v>
      </c>
      <c r="Y75" s="709">
        <v>0.20899999999999999</v>
      </c>
      <c r="Z75" s="709">
        <v>0.18711279262236899</v>
      </c>
      <c r="AA75" s="709">
        <v>0.21730857404860199</v>
      </c>
      <c r="AB75" s="724">
        <v>0.23200000000000001</v>
      </c>
      <c r="AC75" s="709">
        <v>0.23</v>
      </c>
      <c r="AD75" s="709">
        <v>0.22600000000000001</v>
      </c>
      <c r="AE75" s="709">
        <v>0.23400000000000001</v>
      </c>
      <c r="AF75" s="724">
        <v>0.22900000000000001</v>
      </c>
      <c r="AG75" s="709">
        <v>0.23300000000000001</v>
      </c>
      <c r="AH75" s="709">
        <v>0.23599999999999999</v>
      </c>
      <c r="AI75" s="709">
        <v>0.23899999999999999</v>
      </c>
      <c r="AJ75" s="724">
        <v>0.23699999999999999</v>
      </c>
      <c r="AK75" s="709">
        <v>0.22980963368906801</v>
      </c>
      <c r="AL75" s="709">
        <v>0.216</v>
      </c>
      <c r="AM75" s="709">
        <v>0.21817696872707901</v>
      </c>
      <c r="AN75" s="724">
        <v>0.20741264131551901</v>
      </c>
      <c r="AO75" s="709">
        <v>0.204129251219685</v>
      </c>
      <c r="AP75" s="709">
        <v>0.196596208588214</v>
      </c>
      <c r="AQ75" s="709">
        <v>0.19657303012930799</v>
      </c>
      <c r="AR75" s="724">
        <v>0.19737986203698299</v>
      </c>
      <c r="AS75" s="990" t="s">
        <v>1266</v>
      </c>
      <c r="AT75" s="709">
        <v>0.197224058162591</v>
      </c>
    </row>
    <row r="76" spans="1:47">
      <c r="A76" s="250"/>
      <c r="B76" s="279"/>
      <c r="C76" s="279"/>
      <c r="D76" s="279"/>
      <c r="E76" s="279"/>
      <c r="F76" s="279"/>
      <c r="G76" s="279"/>
      <c r="H76" s="279"/>
      <c r="I76" s="279"/>
      <c r="J76" s="279"/>
      <c r="K76" s="279"/>
      <c r="M76" s="279"/>
      <c r="N76" s="279"/>
      <c r="O76" s="279"/>
      <c r="P76" s="280"/>
      <c r="Q76" s="279"/>
      <c r="R76" s="279"/>
      <c r="S76" s="279"/>
      <c r="T76" s="280"/>
      <c r="U76" s="279"/>
      <c r="V76" s="279"/>
      <c r="W76" s="279"/>
      <c r="X76" s="280"/>
      <c r="Y76" s="279"/>
      <c r="Z76" s="279"/>
      <c r="AA76" s="279"/>
      <c r="AB76" s="280"/>
      <c r="AC76" s="279"/>
      <c r="AD76" s="279"/>
      <c r="AE76" s="279"/>
      <c r="AF76" s="280"/>
      <c r="AG76" s="279"/>
      <c r="AH76" s="279"/>
      <c r="AI76" s="279"/>
      <c r="AJ76" s="280"/>
      <c r="AK76" s="279"/>
      <c r="AL76" s="279"/>
      <c r="AM76" s="279"/>
      <c r="AN76" s="280"/>
      <c r="AO76" s="279"/>
      <c r="AP76" s="279"/>
      <c r="AQ76" s="279"/>
      <c r="AR76" s="280"/>
      <c r="AS76" s="279"/>
      <c r="AT76" s="279"/>
    </row>
    <row r="77" spans="1:47" ht="10.5">
      <c r="A77" s="589" t="s">
        <v>774</v>
      </c>
      <c r="B77" s="248">
        <v>2015</v>
      </c>
      <c r="C77" s="248">
        <v>2016</v>
      </c>
      <c r="D77" s="248">
        <v>2017</v>
      </c>
      <c r="E77" s="248">
        <v>2018</v>
      </c>
      <c r="F77" s="248">
        <v>2019</v>
      </c>
      <c r="G77" s="248">
        <v>2020</v>
      </c>
      <c r="H77" s="248">
        <v>2021</v>
      </c>
      <c r="I77" s="248">
        <v>2022</v>
      </c>
      <c r="J77" s="248">
        <v>2023</v>
      </c>
      <c r="K77" s="248">
        <v>2024</v>
      </c>
      <c r="M77" s="248" t="s">
        <v>769</v>
      </c>
      <c r="N77" s="248" t="s">
        <v>770</v>
      </c>
      <c r="O77" s="248" t="s">
        <v>771</v>
      </c>
      <c r="P77" s="249" t="s">
        <v>772</v>
      </c>
      <c r="Q77" s="248" t="s">
        <v>764</v>
      </c>
      <c r="R77" s="248" t="s">
        <v>765</v>
      </c>
      <c r="S77" s="248" t="s">
        <v>766</v>
      </c>
      <c r="T77" s="249" t="s">
        <v>767</v>
      </c>
      <c r="U77" s="248" t="s">
        <v>768</v>
      </c>
      <c r="V77" s="248" t="s">
        <v>730</v>
      </c>
      <c r="W77" s="248" t="s">
        <v>731</v>
      </c>
      <c r="X77" s="249" t="s">
        <v>732</v>
      </c>
      <c r="Y77" s="248" t="s">
        <v>733</v>
      </c>
      <c r="Z77" s="248" t="s">
        <v>626</v>
      </c>
      <c r="AA77" s="248" t="s">
        <v>620</v>
      </c>
      <c r="AB77" s="249" t="s">
        <v>619</v>
      </c>
      <c r="AC77" s="248" t="s">
        <v>614</v>
      </c>
      <c r="AD77" s="248" t="s">
        <v>604</v>
      </c>
      <c r="AE77" s="248" t="s">
        <v>589</v>
      </c>
      <c r="AF77" s="249" t="s">
        <v>587</v>
      </c>
      <c r="AG77" s="248" t="s">
        <v>504</v>
      </c>
      <c r="AH77" s="248" t="s">
        <v>551</v>
      </c>
      <c r="AI77" s="248" t="s">
        <v>532</v>
      </c>
      <c r="AJ77" s="249" t="s">
        <v>530</v>
      </c>
      <c r="AK77" s="248" t="s">
        <v>803</v>
      </c>
      <c r="AL77" s="248" t="s">
        <v>812</v>
      </c>
      <c r="AM77" s="248" t="s">
        <v>816</v>
      </c>
      <c r="AN77" s="249" t="s">
        <v>835</v>
      </c>
      <c r="AO77" s="248" t="s">
        <v>872</v>
      </c>
      <c r="AP77" s="248" t="s">
        <v>986</v>
      </c>
      <c r="AQ77" s="248" t="s">
        <v>1016</v>
      </c>
      <c r="AR77" s="249" t="s">
        <v>1039</v>
      </c>
      <c r="AS77" s="248" t="s">
        <v>1076</v>
      </c>
      <c r="AT77" s="248" t="s">
        <v>1285</v>
      </c>
    </row>
    <row r="78" spans="1:47" s="57" customFormat="1">
      <c r="A78" s="282" t="s">
        <v>111</v>
      </c>
      <c r="B78" s="290" t="s">
        <v>113</v>
      </c>
      <c r="C78" s="290" t="s">
        <v>113</v>
      </c>
      <c r="D78" s="291">
        <v>-163</v>
      </c>
      <c r="E78" s="291">
        <v>-66</v>
      </c>
      <c r="F78" s="291">
        <v>-194</v>
      </c>
      <c r="G78" s="291">
        <v>-99</v>
      </c>
      <c r="H78" s="291">
        <v>-270</v>
      </c>
      <c r="I78" s="291">
        <v>37</v>
      </c>
      <c r="J78" s="291">
        <v>-63</v>
      </c>
      <c r="K78" s="290">
        <v>0</v>
      </c>
      <c r="M78" s="291">
        <v>-45</v>
      </c>
      <c r="N78" s="291">
        <v>-53</v>
      </c>
      <c r="O78" s="291">
        <v>-15</v>
      </c>
      <c r="P78" s="292">
        <v>-50</v>
      </c>
      <c r="Q78" s="291">
        <v>0</v>
      </c>
      <c r="R78" s="291">
        <v>-77</v>
      </c>
      <c r="S78" s="291">
        <v>-56</v>
      </c>
      <c r="T78" s="292">
        <v>67</v>
      </c>
      <c r="U78" s="291">
        <v>-59</v>
      </c>
      <c r="V78" s="291">
        <v>-39</v>
      </c>
      <c r="W78" s="291">
        <v>-54</v>
      </c>
      <c r="X78" s="292">
        <v>-42</v>
      </c>
      <c r="Y78" s="291">
        <f>Y59</f>
        <v>65</v>
      </c>
      <c r="Z78" s="291">
        <v>-91</v>
      </c>
      <c r="AA78" s="379">
        <v>-21</v>
      </c>
      <c r="AB78" s="292">
        <v>-52</v>
      </c>
      <c r="AC78" s="291">
        <v>-149</v>
      </c>
      <c r="AD78" s="291">
        <v>-15</v>
      </c>
      <c r="AE78" s="291">
        <v>21</v>
      </c>
      <c r="AF78" s="292">
        <v>-127</v>
      </c>
      <c r="AG78" s="291">
        <v>43</v>
      </c>
      <c r="AH78" s="291">
        <v>75</v>
      </c>
      <c r="AI78" s="291">
        <v>-14</v>
      </c>
      <c r="AJ78" s="292">
        <v>-67</v>
      </c>
      <c r="AK78" s="291">
        <v>-26</v>
      </c>
      <c r="AL78" s="291">
        <v>-16</v>
      </c>
      <c r="AM78" s="291">
        <v>-19</v>
      </c>
      <c r="AN78" s="292">
        <v>-2</v>
      </c>
      <c r="AO78" s="291">
        <v>-2</v>
      </c>
      <c r="AP78" s="291">
        <v>-18</v>
      </c>
      <c r="AQ78" s="291">
        <v>-17</v>
      </c>
      <c r="AR78" s="292">
        <v>37</v>
      </c>
      <c r="AS78" s="291">
        <v>-11</v>
      </c>
      <c r="AT78" s="291">
        <v>-6</v>
      </c>
    </row>
    <row r="79" spans="1:47">
      <c r="A79" s="250" t="s">
        <v>121</v>
      </c>
      <c r="B79" s="279" t="s">
        <v>113</v>
      </c>
      <c r="C79" s="279" t="s">
        <v>113</v>
      </c>
      <c r="D79" s="279" t="s">
        <v>113</v>
      </c>
      <c r="E79" s="279">
        <v>-328</v>
      </c>
      <c r="F79" s="293">
        <v>-62</v>
      </c>
      <c r="G79" s="293">
        <v>-18</v>
      </c>
      <c r="H79" s="279" t="s">
        <v>113</v>
      </c>
      <c r="I79" s="279" t="s">
        <v>113</v>
      </c>
      <c r="J79" s="279" t="s">
        <v>113</v>
      </c>
      <c r="K79" s="279" t="s">
        <v>113</v>
      </c>
      <c r="M79" s="279" t="s">
        <v>113</v>
      </c>
      <c r="N79" s="279" t="s">
        <v>113</v>
      </c>
      <c r="O79" s="279" t="s">
        <v>113</v>
      </c>
      <c r="P79" s="280" t="s">
        <v>113</v>
      </c>
      <c r="Q79" s="279">
        <v>-95</v>
      </c>
      <c r="R79" s="279">
        <v>-104</v>
      </c>
      <c r="S79" s="279">
        <v>-70</v>
      </c>
      <c r="T79" s="280">
        <v>-59</v>
      </c>
      <c r="U79" s="279">
        <v>-17</v>
      </c>
      <c r="V79" s="279">
        <v>-23</v>
      </c>
      <c r="W79" s="279">
        <v>-11</v>
      </c>
      <c r="X79" s="280">
        <v>-11</v>
      </c>
      <c r="Y79" s="279">
        <v>-6</v>
      </c>
      <c r="Z79" s="279">
        <v>-11</v>
      </c>
      <c r="AA79" s="279">
        <v>-1</v>
      </c>
      <c r="AB79" s="280" t="s">
        <v>113</v>
      </c>
      <c r="AC79" s="279" t="s">
        <v>113</v>
      </c>
      <c r="AD79" s="279" t="s">
        <v>113</v>
      </c>
      <c r="AE79" s="279" t="s">
        <v>113</v>
      </c>
      <c r="AF79" s="280" t="s">
        <v>113</v>
      </c>
      <c r="AG79" s="279" t="s">
        <v>113</v>
      </c>
      <c r="AH79" s="279" t="s">
        <v>113</v>
      </c>
      <c r="AI79" s="279" t="s">
        <v>113</v>
      </c>
      <c r="AJ79" s="280" t="s">
        <v>113</v>
      </c>
      <c r="AK79" s="279" t="s">
        <v>113</v>
      </c>
      <c r="AL79" s="279" t="s">
        <v>113</v>
      </c>
      <c r="AM79" s="279" t="s">
        <v>113</v>
      </c>
      <c r="AN79" s="280" t="s">
        <v>113</v>
      </c>
      <c r="AO79" s="279" t="s">
        <v>113</v>
      </c>
      <c r="AP79" s="279" t="s">
        <v>113</v>
      </c>
      <c r="AQ79" s="279" t="s">
        <v>113</v>
      </c>
      <c r="AR79" s="280" t="s">
        <v>113</v>
      </c>
      <c r="AS79" s="279" t="s">
        <v>113</v>
      </c>
      <c r="AT79" s="279" t="s">
        <v>113</v>
      </c>
    </row>
    <row r="80" spans="1:47" ht="10.5">
      <c r="A80" s="258" t="s">
        <v>35</v>
      </c>
      <c r="B80" s="283" t="s">
        <v>113</v>
      </c>
      <c r="C80" s="283" t="s">
        <v>113</v>
      </c>
      <c r="D80" s="259">
        <v>-163</v>
      </c>
      <c r="E80" s="259">
        <v>-394</v>
      </c>
      <c r="F80" s="259">
        <f>SUM(U80:X80)</f>
        <v>-256.16971000000001</v>
      </c>
      <c r="G80" s="259">
        <f>SUM(Y80:AB80)</f>
        <v>-117</v>
      </c>
      <c r="H80" s="259">
        <v>-270</v>
      </c>
      <c r="I80" s="259">
        <v>37</v>
      </c>
      <c r="J80" s="259">
        <v>-63</v>
      </c>
      <c r="K80" s="283">
        <v>0</v>
      </c>
      <c r="M80" s="259">
        <v>-45</v>
      </c>
      <c r="N80" s="259">
        <v>-53</v>
      </c>
      <c r="O80" s="259">
        <v>-15</v>
      </c>
      <c r="P80" s="260">
        <v>-50</v>
      </c>
      <c r="Q80" s="259">
        <v>-95</v>
      </c>
      <c r="R80" s="259">
        <v>-181</v>
      </c>
      <c r="S80" s="259">
        <v>-126</v>
      </c>
      <c r="T80" s="260">
        <v>8</v>
      </c>
      <c r="U80" s="259">
        <v>-76</v>
      </c>
      <c r="V80" s="259">
        <v>-62</v>
      </c>
      <c r="W80" s="259">
        <v>-65.169709999999995</v>
      </c>
      <c r="X80" s="260">
        <v>-53</v>
      </c>
      <c r="Y80" s="259">
        <f t="shared" ref="Y80:AD80" si="9">SUM(Y78:Y79)</f>
        <v>59</v>
      </c>
      <c r="Z80" s="259">
        <f t="shared" si="9"/>
        <v>-102</v>
      </c>
      <c r="AA80" s="259">
        <f t="shared" si="9"/>
        <v>-22</v>
      </c>
      <c r="AB80" s="260">
        <f t="shared" si="9"/>
        <v>-52</v>
      </c>
      <c r="AC80" s="259">
        <f t="shared" si="9"/>
        <v>-149</v>
      </c>
      <c r="AD80" s="259">
        <f t="shared" si="9"/>
        <v>-15</v>
      </c>
      <c r="AE80" s="259">
        <v>21</v>
      </c>
      <c r="AF80" s="260">
        <v>-127</v>
      </c>
      <c r="AG80" s="259">
        <v>43</v>
      </c>
      <c r="AH80" s="259">
        <v>75</v>
      </c>
      <c r="AI80" s="259">
        <v>-14</v>
      </c>
      <c r="AJ80" s="260">
        <v>-67</v>
      </c>
      <c r="AK80" s="259">
        <v>-26</v>
      </c>
      <c r="AL80" s="259">
        <v>-16</v>
      </c>
      <c r="AM80" s="259">
        <v>-19</v>
      </c>
      <c r="AN80" s="260">
        <v>-2</v>
      </c>
      <c r="AO80" s="259">
        <v>-2</v>
      </c>
      <c r="AP80" s="259">
        <v>-18</v>
      </c>
      <c r="AQ80" s="259">
        <v>-17</v>
      </c>
      <c r="AR80" s="260">
        <v>37</v>
      </c>
      <c r="AS80" s="259">
        <v>-11</v>
      </c>
      <c r="AT80" s="259">
        <v>-6</v>
      </c>
    </row>
    <row r="81" spans="1:46" ht="10.5">
      <c r="A81" s="244"/>
      <c r="B81" s="261"/>
      <c r="C81" s="261"/>
      <c r="D81" s="261"/>
      <c r="E81" s="261"/>
      <c r="F81" s="261"/>
      <c r="G81" s="245"/>
      <c r="H81" s="245"/>
      <c r="I81" s="245"/>
      <c r="J81" s="245"/>
      <c r="K81" s="261"/>
      <c r="M81" s="261"/>
      <c r="N81" s="261"/>
      <c r="O81" s="261"/>
      <c r="P81" s="262"/>
      <c r="Q81" s="261"/>
      <c r="R81" s="261"/>
      <c r="S81" s="261"/>
      <c r="T81" s="262"/>
      <c r="U81" s="261"/>
      <c r="V81" s="261"/>
      <c r="W81" s="261"/>
      <c r="X81" s="262"/>
      <c r="Y81" s="261"/>
      <c r="Z81" s="261"/>
      <c r="AA81" s="261"/>
      <c r="AB81" s="262"/>
      <c r="AC81" s="261"/>
      <c r="AD81" s="261"/>
      <c r="AE81" s="261"/>
      <c r="AF81" s="262"/>
      <c r="AG81" s="261"/>
      <c r="AH81" s="261"/>
      <c r="AI81" s="261"/>
      <c r="AJ81" s="262"/>
      <c r="AK81" s="261"/>
      <c r="AL81" s="261"/>
      <c r="AM81" s="261"/>
      <c r="AN81" s="262"/>
      <c r="AO81" s="261"/>
      <c r="AP81" s="261"/>
      <c r="AQ81" s="261"/>
      <c r="AR81" s="262"/>
      <c r="AS81" s="261"/>
      <c r="AT81" s="261"/>
    </row>
    <row r="82" spans="1:46" ht="10.5">
      <c r="A82" s="244"/>
      <c r="B82" s="261"/>
      <c r="C82" s="261"/>
      <c r="D82" s="261"/>
      <c r="E82" s="261"/>
      <c r="F82" s="261"/>
      <c r="G82" s="261"/>
      <c r="H82" s="261"/>
      <c r="I82" s="261"/>
      <c r="J82" s="261"/>
      <c r="K82" s="261"/>
      <c r="M82" s="261"/>
      <c r="N82" s="261"/>
      <c r="O82" s="261"/>
      <c r="P82" s="262"/>
      <c r="Q82" s="261"/>
      <c r="R82" s="261"/>
      <c r="S82" s="261"/>
      <c r="T82" s="262"/>
      <c r="U82" s="261"/>
      <c r="V82" s="261"/>
      <c r="W82" s="261"/>
      <c r="X82" s="262"/>
      <c r="Y82" s="261"/>
      <c r="Z82" s="261"/>
      <c r="AA82" s="261"/>
      <c r="AB82" s="262"/>
      <c r="AC82" s="261"/>
      <c r="AD82" s="261"/>
      <c r="AE82" s="261"/>
      <c r="AF82" s="262"/>
      <c r="AG82" s="261"/>
      <c r="AH82" s="261"/>
      <c r="AI82" s="261"/>
      <c r="AJ82" s="262"/>
      <c r="AK82" s="261"/>
      <c r="AL82" s="261"/>
      <c r="AM82" s="261"/>
      <c r="AN82" s="262"/>
      <c r="AO82" s="261"/>
      <c r="AP82" s="261"/>
      <c r="AQ82" s="261"/>
      <c r="AR82" s="262"/>
      <c r="AS82" s="261"/>
      <c r="AT82" s="261"/>
    </row>
    <row r="83" spans="1:46" ht="10.5">
      <c r="A83" s="589" t="s">
        <v>775</v>
      </c>
      <c r="B83" s="248">
        <v>2015</v>
      </c>
      <c r="C83" s="248">
        <v>2016</v>
      </c>
      <c r="D83" s="248">
        <v>2017</v>
      </c>
      <c r="E83" s="248">
        <v>2018</v>
      </c>
      <c r="F83" s="248">
        <v>2019</v>
      </c>
      <c r="G83" s="248">
        <v>2020</v>
      </c>
      <c r="H83" s="248">
        <v>2021</v>
      </c>
      <c r="I83" s="248">
        <v>2022</v>
      </c>
      <c r="J83" s="248">
        <v>2023</v>
      </c>
      <c r="K83" s="248">
        <v>2024</v>
      </c>
      <c r="M83" s="248" t="s">
        <v>769</v>
      </c>
      <c r="N83" s="248" t="s">
        <v>770</v>
      </c>
      <c r="O83" s="248" t="s">
        <v>771</v>
      </c>
      <c r="P83" s="249" t="s">
        <v>772</v>
      </c>
      <c r="Q83" s="248" t="s">
        <v>764</v>
      </c>
      <c r="R83" s="248" t="s">
        <v>765</v>
      </c>
      <c r="S83" s="248" t="s">
        <v>766</v>
      </c>
      <c r="T83" s="249" t="s">
        <v>767</v>
      </c>
      <c r="U83" s="248" t="s">
        <v>768</v>
      </c>
      <c r="V83" s="248" t="s">
        <v>730</v>
      </c>
      <c r="W83" s="248" t="s">
        <v>731</v>
      </c>
      <c r="X83" s="249" t="s">
        <v>732</v>
      </c>
      <c r="Y83" s="248" t="s">
        <v>733</v>
      </c>
      <c r="Z83" s="248" t="s">
        <v>626</v>
      </c>
      <c r="AA83" s="248" t="s">
        <v>620</v>
      </c>
      <c r="AB83" s="249" t="s">
        <v>619</v>
      </c>
      <c r="AC83" s="248" t="s">
        <v>614</v>
      </c>
      <c r="AD83" s="248" t="s">
        <v>604</v>
      </c>
      <c r="AE83" s="248" t="s">
        <v>589</v>
      </c>
      <c r="AF83" s="249" t="s">
        <v>587</v>
      </c>
      <c r="AG83" s="248" t="s">
        <v>504</v>
      </c>
      <c r="AH83" s="248" t="s">
        <v>551</v>
      </c>
      <c r="AI83" s="248" t="s">
        <v>532</v>
      </c>
      <c r="AJ83" s="249" t="s">
        <v>530</v>
      </c>
      <c r="AK83" s="248" t="s">
        <v>803</v>
      </c>
      <c r="AL83" s="248" t="s">
        <v>812</v>
      </c>
      <c r="AM83" s="248" t="s">
        <v>816</v>
      </c>
      <c r="AN83" s="249" t="s">
        <v>835</v>
      </c>
      <c r="AO83" s="248" t="s">
        <v>872</v>
      </c>
      <c r="AP83" s="248" t="s">
        <v>986</v>
      </c>
      <c r="AQ83" s="248" t="s">
        <v>1016</v>
      </c>
      <c r="AR83" s="249" t="s">
        <v>1039</v>
      </c>
      <c r="AS83" s="248" t="s">
        <v>1076</v>
      </c>
      <c r="AT83" s="248" t="s">
        <v>1285</v>
      </c>
    </row>
    <row r="84" spans="1:46">
      <c r="A84" s="250" t="s">
        <v>73</v>
      </c>
      <c r="B84" s="294">
        <v>0.71526139764126029</v>
      </c>
      <c r="C84" s="294">
        <v>0.70454460724005519</v>
      </c>
      <c r="D84" s="295">
        <v>0.71922496063751162</v>
      </c>
      <c r="E84" s="295">
        <v>0.74988833127512544</v>
      </c>
      <c r="F84" s="295">
        <v>0.73460309658392731</v>
      </c>
      <c r="G84" s="295">
        <v>0.75</v>
      </c>
      <c r="H84" s="295">
        <f>H18/SUM(H18+H21)</f>
        <v>0.74180898165717901</v>
      </c>
      <c r="I84" s="567">
        <f>I18/(I18+I21)</f>
        <v>0.78261919130959567</v>
      </c>
      <c r="J84" s="295">
        <f>J18/SUM(J18+J21)</f>
        <v>0.78884038969013992</v>
      </c>
      <c r="K84" s="295">
        <f>K18/SUM(K18+K21)</f>
        <v>0.76964471158384995</v>
      </c>
      <c r="M84" s="295">
        <v>0.70722124373391138</v>
      </c>
      <c r="N84" s="295">
        <v>0.70521047227926081</v>
      </c>
      <c r="O84" s="295">
        <v>0.7163111170001325</v>
      </c>
      <c r="P84" s="296">
        <v>0.74538745387453875</v>
      </c>
      <c r="Q84" s="295">
        <v>0.72581827063996096</v>
      </c>
      <c r="R84" s="295">
        <v>0.74920732330980877</v>
      </c>
      <c r="S84" s="295">
        <v>0.75083682008368202</v>
      </c>
      <c r="T84" s="296">
        <v>0.76836909056388836</v>
      </c>
      <c r="U84" s="295">
        <v>0.73199588477366251</v>
      </c>
      <c r="V84" s="295">
        <v>0.72468949943545347</v>
      </c>
      <c r="W84" s="295">
        <v>0.72621051589266261</v>
      </c>
      <c r="X84" s="296">
        <v>0.75563799668066001</v>
      </c>
      <c r="Y84" s="295">
        <v>0.72424042272126821</v>
      </c>
      <c r="Z84" s="295">
        <v>0.75937093531985334</v>
      </c>
      <c r="AA84" s="295">
        <v>0.75</v>
      </c>
      <c r="AB84" s="296">
        <v>0.77</v>
      </c>
      <c r="AC84" s="295">
        <v>0.75</v>
      </c>
      <c r="AD84" s="295">
        <v>0.74</v>
      </c>
      <c r="AE84" s="295">
        <v>0.73</v>
      </c>
      <c r="AF84" s="296">
        <v>0.76076255258211756</v>
      </c>
      <c r="AG84" s="567">
        <f>AG18/(AG18+AG21)</f>
        <v>0.76627833468797979</v>
      </c>
      <c r="AH84" s="567">
        <f>AH18/(AH18+AH21)</f>
        <v>0.76429897081154041</v>
      </c>
      <c r="AI84" s="567">
        <f>AI18/(AI18+AI21)</f>
        <v>0.78788827165323527</v>
      </c>
      <c r="AJ84" s="568">
        <f>AJ18/(AJ18+AJ21)</f>
        <v>0.80624196543350946</v>
      </c>
      <c r="AK84" s="295">
        <f>AK18/(AK18+AK21)</f>
        <v>0.77449848462981674</v>
      </c>
      <c r="AL84" s="295">
        <f t="shared" ref="AL84:AO84" si="10">AL18/(AL18+AL21)</f>
        <v>0.78540934203917634</v>
      </c>
      <c r="AM84" s="295">
        <f t="shared" si="10"/>
        <v>0.78591530420798716</v>
      </c>
      <c r="AN84" s="762">
        <f t="shared" si="10"/>
        <v>0.80795213279289713</v>
      </c>
      <c r="AO84" s="295">
        <f t="shared" si="10"/>
        <v>0.79175199491561332</v>
      </c>
      <c r="AP84" s="295">
        <v>0.76</v>
      </c>
      <c r="AQ84" s="295">
        <v>0.75641760621695653</v>
      </c>
      <c r="AR84" s="762">
        <v>0.77</v>
      </c>
      <c r="AS84" s="295">
        <v>0.75</v>
      </c>
      <c r="AT84" s="295">
        <v>0.76</v>
      </c>
    </row>
    <row r="85" spans="1:46">
      <c r="A85" s="250" t="s">
        <v>71</v>
      </c>
      <c r="B85" s="294">
        <v>0.28473860235873966</v>
      </c>
      <c r="C85" s="294">
        <v>0.29545539275994481</v>
      </c>
      <c r="D85" s="295">
        <v>0.28077503936248838</v>
      </c>
      <c r="E85" s="295">
        <v>0.25011166872487456</v>
      </c>
      <c r="F85" s="295">
        <v>0.26539690341607275</v>
      </c>
      <c r="G85" s="295">
        <v>0.25</v>
      </c>
      <c r="H85" s="295">
        <f>100%-H84</f>
        <v>0.25819101834282099</v>
      </c>
      <c r="I85" s="567">
        <f>I21/(I21+I18)</f>
        <v>0.21738080869040435</v>
      </c>
      <c r="J85" s="295">
        <f>100%-J84</f>
        <v>0.21115961030986008</v>
      </c>
      <c r="K85" s="295">
        <f>100%-K84</f>
        <v>0.23035528841615005</v>
      </c>
      <c r="M85" s="295">
        <v>0.29277875626608862</v>
      </c>
      <c r="N85" s="295">
        <v>0.29478952772073924</v>
      </c>
      <c r="O85" s="295">
        <v>0.2836888829998675</v>
      </c>
      <c r="P85" s="296">
        <v>0.25461254612546125</v>
      </c>
      <c r="Q85" s="295">
        <v>0.27418172936003909</v>
      </c>
      <c r="R85" s="295">
        <v>0.25079267669019129</v>
      </c>
      <c r="S85" s="295">
        <v>0.24916317991631798</v>
      </c>
      <c r="T85" s="296">
        <v>0.23163090943611164</v>
      </c>
      <c r="U85" s="295">
        <v>0.26800411522633744</v>
      </c>
      <c r="V85" s="295">
        <v>0.27531050056454648</v>
      </c>
      <c r="W85" s="295">
        <v>0.27378948410733733</v>
      </c>
      <c r="X85" s="296">
        <v>0.24436200331934005</v>
      </c>
      <c r="Y85" s="295">
        <v>0.27575957727873185</v>
      </c>
      <c r="Z85" s="295">
        <v>0.24062906468014664</v>
      </c>
      <c r="AA85" s="295">
        <v>0.25</v>
      </c>
      <c r="AB85" s="296">
        <v>0.23</v>
      </c>
      <c r="AC85" s="295">
        <v>0.25</v>
      </c>
      <c r="AD85" s="295">
        <v>0.26</v>
      </c>
      <c r="AE85" s="295">
        <v>0.27</v>
      </c>
      <c r="AF85" s="296">
        <v>0.23664190459142576</v>
      </c>
      <c r="AG85" s="567">
        <f>AG21/(AG21+AG18)</f>
        <v>0.23372166531202024</v>
      </c>
      <c r="AH85" s="567">
        <f>AH21/(AH21+AH18)</f>
        <v>0.23570102918845959</v>
      </c>
      <c r="AI85" s="567">
        <f>AI21/(AI21+AI18)</f>
        <v>0.21211172834676473</v>
      </c>
      <c r="AJ85" s="569">
        <f>AJ21/(AJ21+AJ18)</f>
        <v>0.19375803456649049</v>
      </c>
      <c r="AK85" s="295">
        <f>100%-AK84</f>
        <v>0.22550151537018326</v>
      </c>
      <c r="AL85" s="295">
        <f t="shared" ref="AL85:AO85" si="11">100%-AL84</f>
        <v>0.21459065796082366</v>
      </c>
      <c r="AM85" s="295">
        <f t="shared" si="11"/>
        <v>0.21408469579201284</v>
      </c>
      <c r="AN85" s="840">
        <f>100%-AN84</f>
        <v>0.19204786720710287</v>
      </c>
      <c r="AO85" s="295">
        <f t="shared" si="11"/>
        <v>0.20824800508438668</v>
      </c>
      <c r="AP85" s="295">
        <v>0.24</v>
      </c>
      <c r="AQ85" s="295">
        <v>0.24262691891203261</v>
      </c>
      <c r="AR85" s="840">
        <v>0.23</v>
      </c>
      <c r="AS85" s="295">
        <v>0.25</v>
      </c>
      <c r="AT85" s="295">
        <v>0.24</v>
      </c>
    </row>
    <row r="87" spans="1:46" ht="10.5">
      <c r="A87" s="589" t="s">
        <v>776</v>
      </c>
      <c r="B87" s="248">
        <v>2015</v>
      </c>
      <c r="C87" s="248">
        <v>2016</v>
      </c>
      <c r="D87" s="248">
        <v>2017</v>
      </c>
      <c r="E87" s="248">
        <v>2018</v>
      </c>
      <c r="F87" s="248">
        <v>2019</v>
      </c>
      <c r="G87" s="248">
        <v>2020</v>
      </c>
      <c r="H87" s="248">
        <v>2021</v>
      </c>
      <c r="I87" s="248">
        <v>2022</v>
      </c>
      <c r="J87" s="248">
        <v>2023</v>
      </c>
      <c r="K87" s="248">
        <v>2024</v>
      </c>
      <c r="M87" s="248" t="s">
        <v>769</v>
      </c>
      <c r="N87" s="248" t="s">
        <v>770</v>
      </c>
      <c r="O87" s="248" t="s">
        <v>771</v>
      </c>
      <c r="P87" s="249" t="s">
        <v>772</v>
      </c>
      <c r="Q87" s="248" t="s">
        <v>764</v>
      </c>
      <c r="R87" s="248" t="s">
        <v>765</v>
      </c>
      <c r="S87" s="248" t="s">
        <v>766</v>
      </c>
      <c r="T87" s="249" t="s">
        <v>767</v>
      </c>
      <c r="U87" s="248" t="s">
        <v>768</v>
      </c>
      <c r="V87" s="248" t="s">
        <v>730</v>
      </c>
      <c r="W87" s="248" t="s">
        <v>731</v>
      </c>
      <c r="X87" s="249" t="s">
        <v>732</v>
      </c>
      <c r="Y87" s="248" t="s">
        <v>733</v>
      </c>
      <c r="Z87" s="248" t="s">
        <v>626</v>
      </c>
      <c r="AA87" s="248" t="s">
        <v>620</v>
      </c>
      <c r="AB87" s="249" t="s">
        <v>619</v>
      </c>
      <c r="AC87" s="248" t="s">
        <v>614</v>
      </c>
      <c r="AD87" s="248" t="s">
        <v>604</v>
      </c>
      <c r="AE87" s="248" t="s">
        <v>589</v>
      </c>
      <c r="AF87" s="249" t="s">
        <v>587</v>
      </c>
      <c r="AG87" s="248" t="s">
        <v>504</v>
      </c>
      <c r="AH87" s="248" t="s">
        <v>551</v>
      </c>
      <c r="AI87" s="248" t="s">
        <v>532</v>
      </c>
      <c r="AJ87" s="249" t="s">
        <v>530</v>
      </c>
      <c r="AK87" s="248" t="s">
        <v>803</v>
      </c>
      <c r="AL87" s="248" t="s">
        <v>812</v>
      </c>
      <c r="AM87" s="248" t="s">
        <v>816</v>
      </c>
      <c r="AN87" s="249" t="s">
        <v>835</v>
      </c>
      <c r="AO87" s="248" t="s">
        <v>872</v>
      </c>
      <c r="AP87" s="248" t="s">
        <v>986</v>
      </c>
      <c r="AQ87" s="248" t="s">
        <v>1016</v>
      </c>
      <c r="AR87" s="249" t="s">
        <v>1039</v>
      </c>
      <c r="AS87" s="248" t="s">
        <v>1076</v>
      </c>
      <c r="AT87" s="248" t="s">
        <v>1285</v>
      </c>
    </row>
    <row r="88" spans="1:46">
      <c r="A88" s="250" t="s">
        <v>249</v>
      </c>
      <c r="B88" s="294">
        <v>0.3</v>
      </c>
      <c r="C88" s="294">
        <v>0.28999999999999998</v>
      </c>
      <c r="D88" s="294">
        <v>0.33</v>
      </c>
      <c r="E88" s="295">
        <v>0.37</v>
      </c>
      <c r="F88" s="295">
        <v>0.34</v>
      </c>
      <c r="G88" s="295">
        <v>0.32064963924172174</v>
      </c>
      <c r="H88" s="295">
        <f>H90/(H90+H91)</f>
        <v>0.30858950031625554</v>
      </c>
      <c r="I88" s="567">
        <f t="shared" ref="I88" si="12">I90/(I90+I91)</f>
        <v>0.33075839871253271</v>
      </c>
      <c r="J88" s="647">
        <f>J90/(J90+J91)</f>
        <v>0.33873832008364729</v>
      </c>
      <c r="K88" s="294">
        <f>K90/(K90+K91)</f>
        <v>0.34185102432577019</v>
      </c>
      <c r="M88" s="295">
        <v>0.3</v>
      </c>
      <c r="N88" s="295">
        <v>0.32</v>
      </c>
      <c r="O88" s="295">
        <v>0.32</v>
      </c>
      <c r="P88" s="296">
        <v>0.38</v>
      </c>
      <c r="Q88" s="295">
        <v>0.33</v>
      </c>
      <c r="R88" s="295">
        <v>0.37</v>
      </c>
      <c r="S88" s="295">
        <v>0.37</v>
      </c>
      <c r="T88" s="296">
        <v>0.41</v>
      </c>
      <c r="U88" s="295">
        <v>0.34392486011191048</v>
      </c>
      <c r="V88" s="295">
        <v>0.34085499381129203</v>
      </c>
      <c r="W88" s="295">
        <v>0.32</v>
      </c>
      <c r="X88" s="296">
        <v>0.36</v>
      </c>
      <c r="Y88" s="295">
        <v>0.28000000000000003</v>
      </c>
      <c r="Z88" s="295">
        <v>0.33</v>
      </c>
      <c r="AA88" s="295">
        <v>0.31</v>
      </c>
      <c r="AB88" s="296">
        <v>0.35</v>
      </c>
      <c r="AC88" s="295">
        <v>0.28999999999999998</v>
      </c>
      <c r="AD88" s="295">
        <v>0.31</v>
      </c>
      <c r="AE88" s="295">
        <v>0.28000000000000003</v>
      </c>
      <c r="AF88" s="296">
        <v>0.33930009845162445</v>
      </c>
      <c r="AG88" s="567">
        <f>AG90/(AG90+AG91)+0.01</f>
        <v>0.34405581143321595</v>
      </c>
      <c r="AH88" s="567">
        <f t="shared" ref="AH88:AJ88" si="13">AH90/(AH90+AH91)</f>
        <v>0.29947696979922389</v>
      </c>
      <c r="AI88" s="567">
        <f t="shared" si="13"/>
        <v>0.32509193333854941</v>
      </c>
      <c r="AJ88" s="568">
        <f t="shared" si="13"/>
        <v>0.35973432366804742</v>
      </c>
      <c r="AK88" s="647">
        <f>+AK19/AK23</f>
        <v>0.29708681857513702</v>
      </c>
      <c r="AL88" s="647">
        <f>+AL19/AL23</f>
        <v>0.34500314267756127</v>
      </c>
      <c r="AM88" s="647">
        <f>+AM19/AM23</f>
        <v>0.32473161298926451</v>
      </c>
      <c r="AN88" s="831">
        <f>+AN19/AN23</f>
        <v>0.38095709146968137</v>
      </c>
      <c r="AO88" s="829">
        <v>0.33288552640882413</v>
      </c>
      <c r="AP88" s="295">
        <v>0.33593764596842107</v>
      </c>
      <c r="AQ88" s="295">
        <v>0.32991486893530797</v>
      </c>
      <c r="AR88" s="838">
        <v>0.37</v>
      </c>
      <c r="AS88" s="829">
        <v>0.33</v>
      </c>
      <c r="AT88" s="295">
        <v>0.33126239259748841</v>
      </c>
    </row>
    <row r="89" spans="1:46">
      <c r="A89" s="250" t="s">
        <v>250</v>
      </c>
      <c r="B89" s="294">
        <v>0.7</v>
      </c>
      <c r="C89" s="294">
        <v>0.71</v>
      </c>
      <c r="D89" s="294">
        <v>0.67</v>
      </c>
      <c r="E89" s="295">
        <v>0.63</v>
      </c>
      <c r="F89" s="295">
        <v>0.66</v>
      </c>
      <c r="G89" s="295">
        <v>0.67935036075827826</v>
      </c>
      <c r="H89" s="295">
        <f>H91/(H90+H91)</f>
        <v>0.69141049968374446</v>
      </c>
      <c r="I89" s="567">
        <f t="shared" ref="I89" si="14">I91/(I90+I91)</f>
        <v>0.66924160128746735</v>
      </c>
      <c r="J89" s="647">
        <f>J91/(J90+J91)</f>
        <v>0.66126167991635276</v>
      </c>
      <c r="K89" s="294">
        <f>K91/(K90+K91)</f>
        <v>0.65814897567422981</v>
      </c>
      <c r="M89" s="295">
        <v>0.7</v>
      </c>
      <c r="N89" s="295">
        <v>0.68</v>
      </c>
      <c r="O89" s="295">
        <v>0.68</v>
      </c>
      <c r="P89" s="296">
        <v>0.62</v>
      </c>
      <c r="Q89" s="295">
        <v>0.67</v>
      </c>
      <c r="R89" s="295">
        <v>0.63</v>
      </c>
      <c r="S89" s="295">
        <v>0.63</v>
      </c>
      <c r="T89" s="296">
        <v>0.59</v>
      </c>
      <c r="U89" s="295">
        <v>0.65607513988808952</v>
      </c>
      <c r="V89" s="295">
        <v>0.65914500618870797</v>
      </c>
      <c r="W89" s="295">
        <v>0.68</v>
      </c>
      <c r="X89" s="296">
        <v>0.64</v>
      </c>
      <c r="Y89" s="295">
        <v>0.72</v>
      </c>
      <c r="Z89" s="295">
        <v>0.67269717393874895</v>
      </c>
      <c r="AA89" s="295">
        <v>0.69</v>
      </c>
      <c r="AB89" s="296">
        <v>0.65</v>
      </c>
      <c r="AC89" s="295">
        <v>0.71</v>
      </c>
      <c r="AD89" s="295">
        <v>0.69</v>
      </c>
      <c r="AE89" s="295">
        <v>0.72</v>
      </c>
      <c r="AF89" s="296">
        <v>0.65810435872191886</v>
      </c>
      <c r="AG89" s="567">
        <v>0.66</v>
      </c>
      <c r="AH89" s="567">
        <f t="shared" ref="AH89:AJ89" si="15">AH91/(AH90+AH91)</f>
        <v>0.70052303020077611</v>
      </c>
      <c r="AI89" s="567">
        <f t="shared" si="15"/>
        <v>0.67490806666145065</v>
      </c>
      <c r="AJ89" s="569">
        <f t="shared" si="15"/>
        <v>0.64026567633195253</v>
      </c>
      <c r="AK89" s="647">
        <f>AK91/AK23</f>
        <v>0.70219209691375828</v>
      </c>
      <c r="AL89" s="647">
        <v>0.65</v>
      </c>
      <c r="AM89" s="647">
        <v>0.68</v>
      </c>
      <c r="AN89" s="831">
        <f>AN91/AN23</f>
        <v>0.61743705035971219</v>
      </c>
      <c r="AO89" s="295">
        <v>0.66838718800820196</v>
      </c>
      <c r="AP89" s="295">
        <v>0.66382009129764397</v>
      </c>
      <c r="AQ89" s="295">
        <v>0.66919335451841522</v>
      </c>
      <c r="AR89" s="838">
        <f>AR91/AR23</f>
        <v>0.63236913802098427</v>
      </c>
      <c r="AS89" s="295">
        <v>0.67</v>
      </c>
      <c r="AT89" s="295">
        <v>0.66682088565763387</v>
      </c>
    </row>
    <row r="90" spans="1:46">
      <c r="A90" s="250" t="s">
        <v>251</v>
      </c>
      <c r="B90" s="265">
        <v>8510</v>
      </c>
      <c r="C90" s="265">
        <v>7710</v>
      </c>
      <c r="D90" s="251">
        <v>10276</v>
      </c>
      <c r="E90" s="251">
        <v>14238</v>
      </c>
      <c r="F90" s="251">
        <v>13862</v>
      </c>
      <c r="G90" s="251">
        <v>11382</v>
      </c>
      <c r="H90" s="251">
        <f>H19</f>
        <v>12197</v>
      </c>
      <c r="I90" s="551">
        <f>I19</f>
        <v>16442</v>
      </c>
      <c r="J90" s="653">
        <f>J19</f>
        <v>20410</v>
      </c>
      <c r="K90" s="265">
        <f>K19</f>
        <v>21726</v>
      </c>
      <c r="M90" s="251">
        <v>2219</v>
      </c>
      <c r="N90" s="251">
        <v>2469</v>
      </c>
      <c r="O90" s="251">
        <v>2414</v>
      </c>
      <c r="P90" s="252">
        <v>3174</v>
      </c>
      <c r="Q90" s="251">
        <v>2678</v>
      </c>
      <c r="R90" s="251">
        <v>3640</v>
      </c>
      <c r="S90" s="251">
        <v>3570</v>
      </c>
      <c r="T90" s="252">
        <v>4350</v>
      </c>
      <c r="U90" s="251">
        <v>3313</v>
      </c>
      <c r="V90" s="251">
        <v>3638</v>
      </c>
      <c r="W90" s="251">
        <v>3198</v>
      </c>
      <c r="X90" s="252">
        <v>3713</v>
      </c>
      <c r="Y90" s="251">
        <v>2519</v>
      </c>
      <c r="Z90" s="251">
        <v>2768</v>
      </c>
      <c r="AA90" s="251">
        <v>2688</v>
      </c>
      <c r="AB90" s="252">
        <v>3407</v>
      </c>
      <c r="AC90" s="251">
        <v>2562</v>
      </c>
      <c r="AD90" s="265">
        <v>3052</v>
      </c>
      <c r="AE90" s="265">
        <v>2792</v>
      </c>
      <c r="AF90" s="252">
        <v>3791</v>
      </c>
      <c r="AG90" s="551">
        <f>AG19</f>
        <v>3699</v>
      </c>
      <c r="AH90" s="551">
        <f>AH19</f>
        <v>3550</v>
      </c>
      <c r="AI90" s="551">
        <f>AI19</f>
        <v>4155</v>
      </c>
      <c r="AJ90" s="552">
        <f>AJ19</f>
        <v>5037</v>
      </c>
      <c r="AK90" s="653">
        <f>+AK19</f>
        <v>4120</v>
      </c>
      <c r="AL90" s="653">
        <f>+AL19</f>
        <v>5489</v>
      </c>
      <c r="AM90" s="653">
        <f>+AM19</f>
        <v>4870</v>
      </c>
      <c r="AN90" s="655">
        <f>+AN19</f>
        <v>5930.74</v>
      </c>
      <c r="AO90" s="251">
        <v>4708</v>
      </c>
      <c r="AP90" s="265">
        <v>5546.6664725846003</v>
      </c>
      <c r="AQ90" s="265">
        <v>5178</v>
      </c>
      <c r="AR90" s="266">
        <f>+AR19</f>
        <v>6293</v>
      </c>
      <c r="AS90" s="251">
        <v>5072</v>
      </c>
      <c r="AT90" s="265">
        <v>5012</v>
      </c>
    </row>
    <row r="91" spans="1:46">
      <c r="A91" s="42" t="s">
        <v>252</v>
      </c>
      <c r="B91" s="297">
        <v>19895</v>
      </c>
      <c r="C91" s="297">
        <v>19113</v>
      </c>
      <c r="D91" s="58">
        <v>20844.760383407502</v>
      </c>
      <c r="E91" s="58">
        <v>23821</v>
      </c>
      <c r="F91" s="58">
        <v>26829</v>
      </c>
      <c r="G91" s="58">
        <v>24569</v>
      </c>
      <c r="H91" s="58">
        <f>H20+H21</f>
        <v>27328</v>
      </c>
      <c r="I91" s="570">
        <f>I21+I20</f>
        <v>33268</v>
      </c>
      <c r="J91" s="654">
        <f>J20+J21</f>
        <v>39843</v>
      </c>
      <c r="K91" s="297">
        <f>K20+K21</f>
        <v>41828</v>
      </c>
      <c r="M91" s="58">
        <v>5161.7719271698006</v>
      </c>
      <c r="N91" s="58">
        <v>5323</v>
      </c>
      <c r="O91" s="58">
        <v>5133</v>
      </c>
      <c r="P91" s="215">
        <v>5227.1511000085002</v>
      </c>
      <c r="Q91" s="58">
        <v>5510</v>
      </c>
      <c r="R91" s="58">
        <v>6137</v>
      </c>
      <c r="S91" s="58">
        <v>5990</v>
      </c>
      <c r="T91" s="215">
        <v>6184.3818536147</v>
      </c>
      <c r="U91" s="58">
        <v>6407</v>
      </c>
      <c r="V91" s="58">
        <v>6990</v>
      </c>
      <c r="W91" s="58">
        <v>6901</v>
      </c>
      <c r="X91" s="215">
        <v>6531</v>
      </c>
      <c r="Y91" s="58">
        <v>6565</v>
      </c>
      <c r="Z91" s="58">
        <v>5689</v>
      </c>
      <c r="AA91" s="58">
        <v>5979</v>
      </c>
      <c r="AB91" s="215">
        <v>6336</v>
      </c>
      <c r="AC91" s="58">
        <v>6174</v>
      </c>
      <c r="AD91" s="58">
        <v>6652</v>
      </c>
      <c r="AE91" s="58">
        <v>7149</v>
      </c>
      <c r="AF91" s="215">
        <v>7353</v>
      </c>
      <c r="AG91" s="570">
        <f>AG21+AG20</f>
        <v>7374</v>
      </c>
      <c r="AH91" s="570">
        <f>AH21+AH20</f>
        <v>8304</v>
      </c>
      <c r="AI91" s="570">
        <f>AI21+AI20</f>
        <v>8626</v>
      </c>
      <c r="AJ91" s="571">
        <f>AJ21+AJ20</f>
        <v>8965</v>
      </c>
      <c r="AK91" s="654">
        <f t="shared" ref="AK91:AS91" si="16">+AK20+AK21</f>
        <v>9738</v>
      </c>
      <c r="AL91" s="654">
        <f t="shared" si="16"/>
        <v>10439</v>
      </c>
      <c r="AM91" s="654">
        <f t="shared" si="16"/>
        <v>10054</v>
      </c>
      <c r="AN91" s="656">
        <f t="shared" si="16"/>
        <v>9612.26</v>
      </c>
      <c r="AO91" s="297">
        <f t="shared" si="16"/>
        <v>9453</v>
      </c>
      <c r="AP91" s="297">
        <f t="shared" si="16"/>
        <v>10960.3335274154</v>
      </c>
      <c r="AQ91" s="297">
        <f t="shared" si="16"/>
        <v>10505.6664725846</v>
      </c>
      <c r="AR91" s="839">
        <f t="shared" si="16"/>
        <v>10909</v>
      </c>
      <c r="AS91" s="297">
        <f t="shared" si="16"/>
        <v>10443</v>
      </c>
      <c r="AT91" s="297">
        <v>10088</v>
      </c>
    </row>
    <row r="92" spans="1:46">
      <c r="H92" s="425"/>
      <c r="I92" s="425"/>
      <c r="J92" s="425"/>
      <c r="AK92" s="58"/>
      <c r="AL92" s="58"/>
      <c r="AM92" s="58"/>
      <c r="AN92" s="215"/>
      <c r="AO92" s="58"/>
      <c r="AR92" s="215"/>
      <c r="AS92" s="58"/>
    </row>
    <row r="93" spans="1:46" ht="10.5">
      <c r="A93" s="589" t="s">
        <v>818</v>
      </c>
      <c r="B93" s="248">
        <f>B87</f>
        <v>2015</v>
      </c>
      <c r="C93" s="248">
        <f t="shared" ref="C93:AM93" si="17">C87</f>
        <v>2016</v>
      </c>
      <c r="D93" s="248">
        <f t="shared" si="17"/>
        <v>2017</v>
      </c>
      <c r="E93" s="248">
        <f t="shared" si="17"/>
        <v>2018</v>
      </c>
      <c r="F93" s="248">
        <f t="shared" si="17"/>
        <v>2019</v>
      </c>
      <c r="G93" s="248">
        <f t="shared" si="17"/>
        <v>2020</v>
      </c>
      <c r="H93" s="248">
        <f t="shared" si="17"/>
        <v>2021</v>
      </c>
      <c r="I93" s="248">
        <f t="shared" si="17"/>
        <v>2022</v>
      </c>
      <c r="J93" s="248">
        <v>2023</v>
      </c>
      <c r="K93" s="248">
        <v>2024</v>
      </c>
      <c r="M93" s="248" t="str">
        <f t="shared" si="17"/>
        <v>Q117</v>
      </c>
      <c r="N93" s="248" t="str">
        <f t="shared" si="17"/>
        <v>Q217</v>
      </c>
      <c r="O93" s="248" t="str">
        <f t="shared" si="17"/>
        <v>Q317</v>
      </c>
      <c r="P93" s="249" t="str">
        <f t="shared" si="17"/>
        <v>Q417</v>
      </c>
      <c r="Q93" s="248" t="str">
        <f t="shared" si="17"/>
        <v>Q118</v>
      </c>
      <c r="R93" s="248" t="str">
        <f t="shared" si="17"/>
        <v>Q218</v>
      </c>
      <c r="S93" s="248" t="str">
        <f t="shared" si="17"/>
        <v>Q318</v>
      </c>
      <c r="T93" s="249" t="str">
        <f t="shared" si="17"/>
        <v>Q418</v>
      </c>
      <c r="U93" s="248" t="str">
        <f t="shared" si="17"/>
        <v>Q119</v>
      </c>
      <c r="V93" s="248" t="str">
        <f t="shared" si="17"/>
        <v>Q219</v>
      </c>
      <c r="W93" s="248" t="str">
        <f t="shared" si="17"/>
        <v>Q319</v>
      </c>
      <c r="X93" s="249" t="str">
        <f t="shared" si="17"/>
        <v>Q419</v>
      </c>
      <c r="Y93" s="248" t="str">
        <f t="shared" si="17"/>
        <v>Q120</v>
      </c>
      <c r="Z93" s="248" t="str">
        <f t="shared" si="17"/>
        <v>Q220</v>
      </c>
      <c r="AA93" s="248" t="str">
        <f t="shared" si="17"/>
        <v>Q320</v>
      </c>
      <c r="AB93" s="249" t="str">
        <f t="shared" si="17"/>
        <v>Q420</v>
      </c>
      <c r="AC93" s="248" t="str">
        <f t="shared" si="17"/>
        <v>Q121</v>
      </c>
      <c r="AD93" s="248" t="str">
        <f t="shared" si="17"/>
        <v>Q221</v>
      </c>
      <c r="AE93" s="248" t="str">
        <f t="shared" si="17"/>
        <v>Q321</v>
      </c>
      <c r="AF93" s="249" t="str">
        <f t="shared" si="17"/>
        <v>Q421</v>
      </c>
      <c r="AG93" s="248" t="str">
        <f t="shared" si="17"/>
        <v>Q122</v>
      </c>
      <c r="AH93" s="248" t="str">
        <f t="shared" si="17"/>
        <v>Q222</v>
      </c>
      <c r="AI93" s="248" t="str">
        <f t="shared" si="17"/>
        <v>Q322</v>
      </c>
      <c r="AJ93" s="249" t="str">
        <f t="shared" si="17"/>
        <v>Q422</v>
      </c>
      <c r="AK93" s="248" t="str">
        <f t="shared" si="17"/>
        <v>Q123</v>
      </c>
      <c r="AL93" s="248" t="str">
        <f t="shared" si="17"/>
        <v>Q223</v>
      </c>
      <c r="AM93" s="248" t="str">
        <f t="shared" si="17"/>
        <v>Q323</v>
      </c>
      <c r="AN93" s="249" t="s">
        <v>835</v>
      </c>
      <c r="AO93" s="248" t="s">
        <v>872</v>
      </c>
      <c r="AP93" s="248" t="s">
        <v>986</v>
      </c>
      <c r="AQ93" s="248" t="s">
        <v>1016</v>
      </c>
      <c r="AR93" s="249" t="s">
        <v>1039</v>
      </c>
      <c r="AS93" s="248" t="s">
        <v>1076</v>
      </c>
      <c r="AT93" s="248" t="s">
        <v>1285</v>
      </c>
    </row>
    <row r="94" spans="1:46">
      <c r="A94" s="42" t="s">
        <v>104</v>
      </c>
      <c r="B94" s="426">
        <f t="shared" ref="B94:J94" si="18">B19/SUM(B19:B21)</f>
        <v>0.29959514170040485</v>
      </c>
      <c r="C94" s="426">
        <f t="shared" si="18"/>
        <v>0.28743988368191475</v>
      </c>
      <c r="D94" s="426">
        <f t="shared" si="18"/>
        <v>0.33019758750749556</v>
      </c>
      <c r="E94" s="426">
        <f t="shared" si="18"/>
        <v>0.3741033658267427</v>
      </c>
      <c r="F94" s="426">
        <f t="shared" si="18"/>
        <v>0.34066501191909759</v>
      </c>
      <c r="G94" s="426">
        <f t="shared" si="18"/>
        <v>0.31659759116575337</v>
      </c>
      <c r="H94" s="426">
        <f t="shared" si="18"/>
        <v>0.30858950031625554</v>
      </c>
      <c r="I94" s="426">
        <f t="shared" si="18"/>
        <v>0.33075839871253271</v>
      </c>
      <c r="J94" s="426">
        <f t="shared" si="18"/>
        <v>0.33873832008364729</v>
      </c>
      <c r="K94" s="426">
        <f t="shared" ref="K94" si="19">K19/SUM(K19:K21)</f>
        <v>0.34185102432577019</v>
      </c>
      <c r="L94" s="866"/>
      <c r="M94" s="426">
        <f t="shared" ref="M94:AO94" si="20">M19/SUM(M19:M21)</f>
        <v>0.30064606004576655</v>
      </c>
      <c r="N94" s="426">
        <f t="shared" si="20"/>
        <v>0.31686344969199176</v>
      </c>
      <c r="O94" s="426">
        <f t="shared" si="20"/>
        <v>0.31986219689943024</v>
      </c>
      <c r="P94" s="296">
        <f t="shared" si="20"/>
        <v>0.37780537002801773</v>
      </c>
      <c r="Q94" s="426">
        <f t="shared" si="20"/>
        <v>0.32706399609184172</v>
      </c>
      <c r="R94" s="426">
        <f t="shared" si="20"/>
        <v>0.37230234223176845</v>
      </c>
      <c r="S94" s="426">
        <f t="shared" si="20"/>
        <v>0.37343096234309625</v>
      </c>
      <c r="T94" s="296">
        <f t="shared" si="20"/>
        <v>0.41293357887035098</v>
      </c>
      <c r="U94" s="426">
        <f t="shared" si="20"/>
        <v>0.34084362139917695</v>
      </c>
      <c r="V94" s="426">
        <f t="shared" si="20"/>
        <v>0.3423033496424539</v>
      </c>
      <c r="W94" s="426">
        <f t="shared" si="20"/>
        <v>0.31666501633825134</v>
      </c>
      <c r="X94" s="296">
        <f t="shared" si="20"/>
        <v>0.36245607184693479</v>
      </c>
      <c r="Y94" s="426">
        <f t="shared" si="20"/>
        <v>0.27730074856891235</v>
      </c>
      <c r="Z94" s="426">
        <f t="shared" si="20"/>
        <v>0.32730282606125105</v>
      </c>
      <c r="AA94" s="426">
        <f t="shared" si="20"/>
        <v>0.31014191761855314</v>
      </c>
      <c r="AB94" s="296">
        <f t="shared" si="20"/>
        <v>0.34975369458128081</v>
      </c>
      <c r="AC94" s="426">
        <f t="shared" si="20"/>
        <v>0.29326923076923078</v>
      </c>
      <c r="AD94" s="426">
        <f t="shared" si="20"/>
        <v>0.31450948062654577</v>
      </c>
      <c r="AE94" s="426">
        <f t="shared" si="20"/>
        <v>0.28085705663414146</v>
      </c>
      <c r="AF94" s="296">
        <f t="shared" si="20"/>
        <v>0.34018305814788224</v>
      </c>
      <c r="AG94" s="426">
        <f t="shared" si="20"/>
        <v>0.33405581143321594</v>
      </c>
      <c r="AH94" s="426">
        <f t="shared" si="20"/>
        <v>0.29947696979922389</v>
      </c>
      <c r="AI94" s="426">
        <f t="shared" si="20"/>
        <v>0.32509193333854941</v>
      </c>
      <c r="AJ94" s="296">
        <f t="shared" si="20"/>
        <v>0.35973432366804742</v>
      </c>
      <c r="AK94" s="426">
        <f t="shared" si="20"/>
        <v>0.29730119786404963</v>
      </c>
      <c r="AL94" s="426">
        <f t="shared" si="20"/>
        <v>0.34461325966850831</v>
      </c>
      <c r="AM94" s="426">
        <f t="shared" si="20"/>
        <v>0.32632002144197264</v>
      </c>
      <c r="AN94" s="296">
        <f t="shared" si="20"/>
        <v>0.38156983851251364</v>
      </c>
      <c r="AO94" s="426">
        <f t="shared" si="20"/>
        <v>0.33246239672339523</v>
      </c>
      <c r="AP94" s="426">
        <f>AP19/SUM(AP19:AP21)</f>
        <v>0.33601905086233719</v>
      </c>
      <c r="AQ94" s="426">
        <f>AQ19/SUM(AQ19:AQ21)</f>
        <v>0.33016663653502931</v>
      </c>
      <c r="AR94" s="296">
        <f t="shared" ref="AR94:AS94" si="21">AR19/SUM(AR19:AR21)</f>
        <v>0.36582955470294154</v>
      </c>
      <c r="AS94" s="426">
        <f t="shared" si="21"/>
        <v>0.32690944247502418</v>
      </c>
      <c r="AT94" s="426">
        <f>AT19/SUM(AT19:AT21)</f>
        <v>0.33192052980132453</v>
      </c>
    </row>
    <row r="95" spans="1:46">
      <c r="A95" s="42" t="s">
        <v>488</v>
      </c>
      <c r="B95" s="426">
        <f t="shared" ref="B95:J95" si="22">B20/SUM(B19:B21)</f>
        <v>0.41566625594085549</v>
      </c>
      <c r="C95" s="426">
        <f t="shared" si="22"/>
        <v>0.41710472355814038</v>
      </c>
      <c r="D95" s="426">
        <f t="shared" si="22"/>
        <v>0.38902521128186834</v>
      </c>
      <c r="E95" s="426">
        <f t="shared" si="22"/>
        <v>0.3757849654483828</v>
      </c>
      <c r="F95" s="426">
        <f t="shared" si="22"/>
        <v>0.39394460691553412</v>
      </c>
      <c r="G95" s="426">
        <f t="shared" si="22"/>
        <v>0.43239409195849909</v>
      </c>
      <c r="H95" s="426">
        <f t="shared" si="22"/>
        <v>0.43321948134092347</v>
      </c>
      <c r="I95" s="426">
        <f t="shared" si="22"/>
        <v>0.45186079259706297</v>
      </c>
      <c r="J95" s="426">
        <f t="shared" si="22"/>
        <v>0.45010206960649263</v>
      </c>
      <c r="K95" s="426">
        <f t="shared" ref="K95" si="23">K20/SUM(K19:K21)</f>
        <v>0.42779368725807976</v>
      </c>
      <c r="M95" s="426">
        <f t="shared" ref="M95:AO95" si="24">M20/SUM(M19:M21)</f>
        <v>0.40656613654778834</v>
      </c>
      <c r="N95" s="426">
        <f t="shared" si="24"/>
        <v>0.388347022587269</v>
      </c>
      <c r="O95" s="426">
        <f t="shared" si="24"/>
        <v>0.39644892010070226</v>
      </c>
      <c r="P95" s="296">
        <f t="shared" si="24"/>
        <v>0.36758666321397021</v>
      </c>
      <c r="Q95" s="426">
        <f t="shared" si="24"/>
        <v>0.39875427454811918</v>
      </c>
      <c r="R95" s="426">
        <f t="shared" si="24"/>
        <v>0.37690498107804032</v>
      </c>
      <c r="S95" s="426">
        <f t="shared" si="24"/>
        <v>0.37740585774058577</v>
      </c>
      <c r="T95" s="296">
        <f t="shared" si="24"/>
        <v>0.35544390792421071</v>
      </c>
      <c r="U95" s="426">
        <f t="shared" si="24"/>
        <v>0.39115226337448561</v>
      </c>
      <c r="V95" s="426">
        <f t="shared" si="24"/>
        <v>0.38238614979299962</v>
      </c>
      <c r="W95" s="426">
        <f t="shared" si="24"/>
        <v>0.40954549955441133</v>
      </c>
      <c r="X95" s="296">
        <f t="shared" si="24"/>
        <v>0.39320577899258102</v>
      </c>
      <c r="Y95" s="426">
        <f t="shared" si="24"/>
        <v>0.4469396741523558</v>
      </c>
      <c r="Z95" s="426">
        <f t="shared" si="24"/>
        <v>0.43206810925860234</v>
      </c>
      <c r="AA95" s="426">
        <f t="shared" si="24"/>
        <v>0.43648321218414676</v>
      </c>
      <c r="AB95" s="296">
        <f t="shared" si="24"/>
        <v>0.4154351395730706</v>
      </c>
      <c r="AC95" s="426">
        <f t="shared" si="24"/>
        <v>0.43830128205128205</v>
      </c>
      <c r="AD95" s="426">
        <f t="shared" si="24"/>
        <v>0.42611294311624071</v>
      </c>
      <c r="AE95" s="426">
        <f t="shared" si="24"/>
        <v>0.44764108238607786</v>
      </c>
      <c r="AF95" s="296">
        <f t="shared" si="24"/>
        <v>0.42255922469490309</v>
      </c>
      <c r="AG95" s="426">
        <f t="shared" si="24"/>
        <v>0.43222252325476385</v>
      </c>
      <c r="AH95" s="426">
        <f t="shared" si="24"/>
        <v>0.46482200101231652</v>
      </c>
      <c r="AI95" s="426">
        <f t="shared" si="24"/>
        <v>0.46279633831468586</v>
      </c>
      <c r="AJ95" s="296">
        <f t="shared" si="24"/>
        <v>0.44650764176546209</v>
      </c>
      <c r="AK95" s="426">
        <f t="shared" si="24"/>
        <v>0.47719728676576706</v>
      </c>
      <c r="AL95" s="426">
        <f t="shared" si="24"/>
        <v>0.44079608237066803</v>
      </c>
      <c r="AM95" s="426">
        <f t="shared" si="24"/>
        <v>0.45959528276601447</v>
      </c>
      <c r="AN95" s="296">
        <f t="shared" si="24"/>
        <v>0.42638229428038349</v>
      </c>
      <c r="AO95" s="426">
        <f t="shared" si="24"/>
        <v>0.45928959819221804</v>
      </c>
      <c r="AP95" s="426">
        <f>AP20/SUM(AP19:AP21)</f>
        <v>0.42220473298693884</v>
      </c>
      <c r="AQ95" s="426">
        <f>AQ20/SUM(AQ19:AQ21)</f>
        <v>0.42697439891511096</v>
      </c>
      <c r="AR95" s="296">
        <f t="shared" ref="AR95:AT95" si="25">AR20/SUM(AR19:AR21)</f>
        <v>0.40797581676549238</v>
      </c>
      <c r="AS95" s="426">
        <f t="shared" si="25"/>
        <v>0.42745729938768934</v>
      </c>
      <c r="AT95" s="426">
        <f t="shared" si="25"/>
        <v>0.42536423841059601</v>
      </c>
    </row>
    <row r="96" spans="1:46">
      <c r="A96" s="42" t="s">
        <v>247</v>
      </c>
      <c r="B96" s="426">
        <f t="shared" ref="B96:J96" si="26">B21/SUM(B19:B21)</f>
        <v>0.28473860235873966</v>
      </c>
      <c r="C96" s="426">
        <f t="shared" si="26"/>
        <v>0.29545539275994481</v>
      </c>
      <c r="D96" s="426">
        <f t="shared" si="26"/>
        <v>0.2807772012106361</v>
      </c>
      <c r="E96" s="426">
        <f t="shared" si="26"/>
        <v>0.25011166872487456</v>
      </c>
      <c r="F96" s="426">
        <f t="shared" si="26"/>
        <v>0.26539038116536828</v>
      </c>
      <c r="G96" s="426">
        <f t="shared" si="26"/>
        <v>0.25100831687574754</v>
      </c>
      <c r="H96" s="426">
        <f t="shared" si="26"/>
        <v>0.25819101834282099</v>
      </c>
      <c r="I96" s="426">
        <f t="shared" si="26"/>
        <v>0.21738080869040435</v>
      </c>
      <c r="J96" s="426">
        <f t="shared" si="26"/>
        <v>0.21115961030986008</v>
      </c>
      <c r="K96" s="426">
        <f t="shared" ref="K96" si="27">K21/SUM(K19:K21)</f>
        <v>0.23035528841615005</v>
      </c>
      <c r="M96" s="426">
        <f t="shared" ref="M96:AO96" si="28">M21/SUM(M19:M21)</f>
        <v>0.29278780340644506</v>
      </c>
      <c r="N96" s="426">
        <f t="shared" si="28"/>
        <v>0.29478952772073924</v>
      </c>
      <c r="O96" s="426">
        <f t="shared" si="28"/>
        <v>0.2836888829998675</v>
      </c>
      <c r="P96" s="613">
        <f t="shared" si="28"/>
        <v>0.25460796675801195</v>
      </c>
      <c r="Q96" s="426">
        <f t="shared" si="28"/>
        <v>0.27418172936003909</v>
      </c>
      <c r="R96" s="426">
        <f t="shared" si="28"/>
        <v>0.25079267669019129</v>
      </c>
      <c r="S96" s="426">
        <f t="shared" si="28"/>
        <v>0.24916317991631798</v>
      </c>
      <c r="T96" s="613">
        <f t="shared" si="28"/>
        <v>0.23162251320543822</v>
      </c>
      <c r="U96" s="426">
        <f t="shared" si="28"/>
        <v>0.26800411522633744</v>
      </c>
      <c r="V96" s="426">
        <f t="shared" si="28"/>
        <v>0.27531050056454648</v>
      </c>
      <c r="W96" s="426">
        <f t="shared" si="28"/>
        <v>0.27378948410733733</v>
      </c>
      <c r="X96" s="613">
        <f t="shared" si="28"/>
        <v>0.24433814916048419</v>
      </c>
      <c r="Y96" s="426">
        <f t="shared" si="28"/>
        <v>0.27575957727873185</v>
      </c>
      <c r="Z96" s="426">
        <f t="shared" si="28"/>
        <v>0.24062906468014664</v>
      </c>
      <c r="AA96" s="426">
        <f t="shared" si="28"/>
        <v>0.25337487019730009</v>
      </c>
      <c r="AB96" s="613">
        <f t="shared" si="28"/>
        <v>0.2348111658456486</v>
      </c>
      <c r="AC96" s="426">
        <f t="shared" si="28"/>
        <v>0.26842948717948717</v>
      </c>
      <c r="AD96" s="426">
        <f t="shared" si="28"/>
        <v>0.25937757625721353</v>
      </c>
      <c r="AE96" s="426">
        <f t="shared" si="28"/>
        <v>0.27150186097978068</v>
      </c>
      <c r="AF96" s="613">
        <f t="shared" si="28"/>
        <v>0.23725771715721464</v>
      </c>
      <c r="AG96" s="426">
        <f t="shared" si="28"/>
        <v>0.23372166531202024</v>
      </c>
      <c r="AH96" s="426">
        <f t="shared" si="28"/>
        <v>0.23570102918845959</v>
      </c>
      <c r="AI96" s="426">
        <f t="shared" si="28"/>
        <v>0.21211172834676473</v>
      </c>
      <c r="AJ96" s="613">
        <f t="shared" si="28"/>
        <v>0.19375803456649049</v>
      </c>
      <c r="AK96" s="426">
        <f t="shared" si="28"/>
        <v>0.22550151537018329</v>
      </c>
      <c r="AL96" s="426">
        <f t="shared" si="28"/>
        <v>0.21459065796082372</v>
      </c>
      <c r="AM96" s="426">
        <f t="shared" si="28"/>
        <v>0.21408469579201286</v>
      </c>
      <c r="AN96" s="613">
        <f t="shared" si="28"/>
        <v>0.19204786720710287</v>
      </c>
      <c r="AO96" s="426">
        <f t="shared" si="28"/>
        <v>0.20824800508438671</v>
      </c>
      <c r="AP96" s="426">
        <f>AP21/SUM(AP19:AP21)</f>
        <v>0.24177621615072392</v>
      </c>
      <c r="AQ96" s="426">
        <f>AQ21/SUM(AQ19:AQ21)</f>
        <v>0.24285896454985972</v>
      </c>
      <c r="AR96" s="613">
        <f t="shared" ref="AR96:AT96" si="29">AR21/SUM(AR19:AR21)</f>
        <v>0.22619462853156611</v>
      </c>
      <c r="AS96" s="426">
        <f t="shared" si="29"/>
        <v>0.24563325813728651</v>
      </c>
      <c r="AT96" s="426">
        <f t="shared" si="29"/>
        <v>0.24271523178807947</v>
      </c>
    </row>
    <row r="97" spans="1:46">
      <c r="H97" s="425"/>
      <c r="I97" s="425"/>
      <c r="J97" s="425"/>
      <c r="AL97" s="399"/>
      <c r="AM97" s="399"/>
    </row>
    <row r="98" spans="1:46" ht="10.5">
      <c r="A98" s="589" t="s">
        <v>1037</v>
      </c>
      <c r="B98" s="248">
        <v>2015</v>
      </c>
      <c r="C98" s="248">
        <v>2016</v>
      </c>
      <c r="D98" s="248">
        <v>2017</v>
      </c>
      <c r="E98" s="248">
        <v>2018</v>
      </c>
      <c r="F98" s="248">
        <v>2019</v>
      </c>
      <c r="G98" s="248">
        <v>2020</v>
      </c>
      <c r="H98" s="248">
        <v>2021</v>
      </c>
      <c r="I98" s="248">
        <v>2022</v>
      </c>
      <c r="J98" s="248">
        <v>2023</v>
      </c>
      <c r="K98" s="248">
        <v>2024</v>
      </c>
      <c r="M98" s="248" t="s">
        <v>769</v>
      </c>
      <c r="N98" s="248" t="s">
        <v>770</v>
      </c>
      <c r="O98" s="248" t="s">
        <v>771</v>
      </c>
      <c r="P98" s="249" t="s">
        <v>772</v>
      </c>
      <c r="Q98" s="248" t="s">
        <v>764</v>
      </c>
      <c r="R98" s="248" t="s">
        <v>765</v>
      </c>
      <c r="S98" s="248" t="s">
        <v>766</v>
      </c>
      <c r="T98" s="249" t="s">
        <v>767</v>
      </c>
      <c r="U98" s="248" t="s">
        <v>768</v>
      </c>
      <c r="V98" s="248" t="s">
        <v>730</v>
      </c>
      <c r="W98" s="248" t="s">
        <v>731</v>
      </c>
      <c r="X98" s="249" t="s">
        <v>732</v>
      </c>
      <c r="Y98" s="248" t="s">
        <v>733</v>
      </c>
      <c r="Z98" s="248" t="s">
        <v>626</v>
      </c>
      <c r="AA98" s="248" t="s">
        <v>620</v>
      </c>
      <c r="AB98" s="249" t="s">
        <v>619</v>
      </c>
      <c r="AC98" s="248" t="s">
        <v>614</v>
      </c>
      <c r="AD98" s="248" t="s">
        <v>604</v>
      </c>
      <c r="AE98" s="248" t="s">
        <v>589</v>
      </c>
      <c r="AF98" s="249" t="s">
        <v>587</v>
      </c>
      <c r="AG98" s="248" t="s">
        <v>504</v>
      </c>
      <c r="AH98" s="248" t="s">
        <v>551</v>
      </c>
      <c r="AI98" s="248" t="s">
        <v>532</v>
      </c>
      <c r="AJ98" s="249" t="s">
        <v>530</v>
      </c>
      <c r="AK98" s="248" t="s">
        <v>803</v>
      </c>
      <c r="AL98" s="248" t="s">
        <v>812</v>
      </c>
      <c r="AM98" s="248" t="s">
        <v>816</v>
      </c>
      <c r="AN98" s="249" t="s">
        <v>835</v>
      </c>
      <c r="AO98" s="248" t="s">
        <v>872</v>
      </c>
      <c r="AP98" s="248" t="s">
        <v>986</v>
      </c>
      <c r="AQ98" s="248" t="s">
        <v>1016</v>
      </c>
      <c r="AR98" s="249" t="s">
        <v>1039</v>
      </c>
      <c r="AS98" s="248" t="s">
        <v>1076</v>
      </c>
      <c r="AT98" s="248" t="s">
        <v>1285</v>
      </c>
    </row>
    <row r="99" spans="1:46">
      <c r="A99" s="42" t="s">
        <v>104</v>
      </c>
      <c r="B99" s="426">
        <f t="shared" ref="B99:J99" si="30">B19/(B19+B20)</f>
        <v>0.41886105232071663</v>
      </c>
      <c r="C99" s="426">
        <f t="shared" si="30"/>
        <v>0.4079796803894592</v>
      </c>
      <c r="D99" s="426">
        <f t="shared" si="30"/>
        <v>0.45910333774638767</v>
      </c>
      <c r="E99" s="426">
        <f t="shared" si="30"/>
        <v>0.49887876664330766</v>
      </c>
      <c r="F99" s="426">
        <f t="shared" si="30"/>
        <v>0.46373611668673892</v>
      </c>
      <c r="G99" s="426">
        <f t="shared" si="30"/>
        <v>0.42269840680358006</v>
      </c>
      <c r="H99" s="426">
        <f t="shared" si="30"/>
        <v>0.41599590723055935</v>
      </c>
      <c r="I99" s="426">
        <f t="shared" si="30"/>
        <v>0.42263006374665846</v>
      </c>
      <c r="J99" s="426">
        <f t="shared" si="30"/>
        <v>0.42941300231432777</v>
      </c>
      <c r="K99" s="426">
        <f t="shared" ref="K99" si="31">K19/(K19+K20)</f>
        <v>0.44416731406141391</v>
      </c>
      <c r="M99" s="426">
        <f t="shared" ref="M99:AQ99" si="32">M19/(M19+M20)</f>
        <v>0.4251143595852776</v>
      </c>
      <c r="N99" s="426">
        <f t="shared" si="32"/>
        <v>0.44931756141947227</v>
      </c>
      <c r="O99" s="426">
        <f t="shared" si="32"/>
        <v>0.44654088050314467</v>
      </c>
      <c r="P99" s="296">
        <f t="shared" si="32"/>
        <v>0.50685458547873297</v>
      </c>
      <c r="Q99" s="426">
        <f t="shared" si="32"/>
        <v>0.45061416792865555</v>
      </c>
      <c r="R99" s="426">
        <f t="shared" si="32"/>
        <v>0.49692832764505118</v>
      </c>
      <c r="S99" s="426">
        <f t="shared" si="32"/>
        <v>0.49735302312621898</v>
      </c>
      <c r="T99" s="296">
        <f t="shared" si="32"/>
        <v>0.53740978355962099</v>
      </c>
      <c r="U99" s="426">
        <f t="shared" si="32"/>
        <v>0.4656359803232607</v>
      </c>
      <c r="V99" s="426">
        <f t="shared" si="32"/>
        <v>0.4723448454946767</v>
      </c>
      <c r="W99" s="426">
        <f t="shared" si="32"/>
        <v>0.43605126806653943</v>
      </c>
      <c r="X99" s="296">
        <f t="shared" si="32"/>
        <v>0.47965379149980625</v>
      </c>
      <c r="Y99" s="426">
        <f t="shared" si="32"/>
        <v>0.38288493692050463</v>
      </c>
      <c r="Z99" s="426">
        <f t="shared" si="32"/>
        <v>0.43101837433821238</v>
      </c>
      <c r="AA99" s="426">
        <f t="shared" si="32"/>
        <v>0.41539174779786742</v>
      </c>
      <c r="AB99" s="296">
        <f t="shared" si="32"/>
        <v>0.4570815450643777</v>
      </c>
      <c r="AC99" s="426">
        <f t="shared" si="32"/>
        <v>0.4008762322015334</v>
      </c>
      <c r="AD99" s="426">
        <f t="shared" si="32"/>
        <v>0.42465562821761516</v>
      </c>
      <c r="AE99" s="426">
        <f t="shared" si="32"/>
        <v>0.38552885943109638</v>
      </c>
      <c r="AF99" s="296">
        <f t="shared" si="32"/>
        <v>0.44600000000000001</v>
      </c>
      <c r="AG99" s="426">
        <f t="shared" si="32"/>
        <v>0.43594578668238065</v>
      </c>
      <c r="AH99" s="426">
        <f t="shared" si="32"/>
        <v>0.39183222958057395</v>
      </c>
      <c r="AI99" s="426">
        <f t="shared" si="32"/>
        <v>0.41261171797418073</v>
      </c>
      <c r="AJ99" s="296">
        <f t="shared" si="32"/>
        <v>0.44618655328195589</v>
      </c>
      <c r="AK99" s="832">
        <f t="shared" si="32"/>
        <v>0.38386285288362992</v>
      </c>
      <c r="AL99" s="832">
        <f t="shared" si="32"/>
        <v>0.43876898481215026</v>
      </c>
      <c r="AM99" s="832">
        <f t="shared" si="32"/>
        <v>0.41521016284423223</v>
      </c>
      <c r="AN99" s="833">
        <f t="shared" si="32"/>
        <v>0.47226787705048573</v>
      </c>
      <c r="AO99" s="426">
        <f t="shared" si="32"/>
        <v>0.41990724224045667</v>
      </c>
      <c r="AP99" s="426">
        <f t="shared" si="32"/>
        <v>0.44316606524325663</v>
      </c>
      <c r="AQ99" s="426">
        <f t="shared" si="32"/>
        <v>0.43607019178234946</v>
      </c>
      <c r="AR99" s="841">
        <f>AR19/(AR19+AR20)</f>
        <v>0.47276688453159044</v>
      </c>
      <c r="AS99" s="426">
        <f t="shared" ref="AS99" si="33">AS19/(AS19+AS20)</f>
        <v>0.43335611756664388</v>
      </c>
      <c r="AT99" s="426">
        <f>AT19/(AT19+AT20)</f>
        <v>0.43830345430695233</v>
      </c>
    </row>
    <row r="100" spans="1:46">
      <c r="A100" s="42" t="s">
        <v>488</v>
      </c>
      <c r="B100" s="426">
        <f t="shared" ref="B100" si="34">100%-B99</f>
        <v>0.58113894767928342</v>
      </c>
      <c r="C100" s="426">
        <f t="shared" ref="C100" si="35">100%-C99</f>
        <v>0.5920203196105408</v>
      </c>
      <c r="D100" s="426">
        <f t="shared" ref="D100" si="36">100%-D99</f>
        <v>0.54089666225361233</v>
      </c>
      <c r="E100" s="426">
        <f t="shared" ref="E100" si="37">100%-E99</f>
        <v>0.50112123335669234</v>
      </c>
      <c r="F100" s="426">
        <f t="shared" ref="F100" si="38">100%-F99</f>
        <v>0.53626388331326114</v>
      </c>
      <c r="G100" s="426">
        <f t="shared" ref="G100" si="39">100%-G99</f>
        <v>0.57730159319641994</v>
      </c>
      <c r="H100" s="426">
        <f t="shared" ref="H100" si="40">100%-H99</f>
        <v>0.58400409276944065</v>
      </c>
      <c r="I100" s="426">
        <f t="shared" ref="I100" si="41">100%-I99</f>
        <v>0.57736993625334154</v>
      </c>
      <c r="J100" s="426">
        <f t="shared" ref="J100:K100" si="42">100%-J99</f>
        <v>0.57058699768567223</v>
      </c>
      <c r="K100" s="426">
        <f t="shared" si="42"/>
        <v>0.55583268593858604</v>
      </c>
      <c r="M100" s="426">
        <f t="shared" ref="M100" si="43">100%-M99</f>
        <v>0.57488564041472245</v>
      </c>
      <c r="N100" s="426">
        <f t="shared" ref="N100" si="44">100%-N99</f>
        <v>0.55068243858052779</v>
      </c>
      <c r="O100" s="426">
        <f t="shared" ref="O100" si="45">100%-O99</f>
        <v>0.55345911949685533</v>
      </c>
      <c r="P100" s="296">
        <f t="shared" ref="P100" si="46">100%-P99</f>
        <v>0.49314541452126703</v>
      </c>
      <c r="Q100" s="426">
        <f t="shared" ref="Q100" si="47">100%-Q99</f>
        <v>0.5493858320713445</v>
      </c>
      <c r="R100" s="426">
        <f t="shared" ref="R100" si="48">100%-R99</f>
        <v>0.50307167235494887</v>
      </c>
      <c r="S100" s="426">
        <f t="shared" ref="S100" si="49">100%-S99</f>
        <v>0.50264697687378102</v>
      </c>
      <c r="T100" s="296">
        <f t="shared" ref="T100" si="50">100%-T99</f>
        <v>0.46259021644037901</v>
      </c>
      <c r="U100" s="426">
        <f t="shared" ref="U100" si="51">100%-U99</f>
        <v>0.5343640196767393</v>
      </c>
      <c r="V100" s="426">
        <f t="shared" ref="V100" si="52">100%-V99</f>
        <v>0.5276551545053233</v>
      </c>
      <c r="W100" s="426">
        <f t="shared" ref="W100" si="53">100%-W99</f>
        <v>0.56394873193346062</v>
      </c>
      <c r="X100" s="296">
        <f t="shared" ref="X100" si="54">100%-X99</f>
        <v>0.52034620850019375</v>
      </c>
      <c r="Y100" s="426">
        <f t="shared" ref="Y100" si="55">100%-Y99</f>
        <v>0.61711506307949537</v>
      </c>
      <c r="Z100" s="426">
        <f t="shared" ref="Z100" si="56">100%-Z99</f>
        <v>0.56898162566178767</v>
      </c>
      <c r="AA100" s="426">
        <f t="shared" ref="AA100" si="57">100%-AA99</f>
        <v>0.58460825220213253</v>
      </c>
      <c r="AB100" s="296">
        <f t="shared" ref="AB100" si="58">100%-AB99</f>
        <v>0.5429184549356223</v>
      </c>
      <c r="AC100" s="426">
        <f t="shared" ref="AC100" si="59">100%-AC99</f>
        <v>0.59912376779846666</v>
      </c>
      <c r="AD100" s="426">
        <f t="shared" ref="AD100" si="60">100%-AD99</f>
        <v>0.57534437178238484</v>
      </c>
      <c r="AE100" s="426">
        <f t="shared" ref="AE100" si="61">100%-AE99</f>
        <v>0.61447114056890362</v>
      </c>
      <c r="AF100" s="296">
        <f t="shared" ref="AF100" si="62">100%-AF99</f>
        <v>0.55400000000000005</v>
      </c>
      <c r="AG100" s="426">
        <f t="shared" ref="AG100" si="63">100%-AG99</f>
        <v>0.5640542133176194</v>
      </c>
      <c r="AH100" s="426">
        <f t="shared" ref="AH100" si="64">100%-AH99</f>
        <v>0.60816777041942605</v>
      </c>
      <c r="AI100" s="426">
        <f t="shared" ref="AI100" si="65">100%-AI99</f>
        <v>0.58738828202581927</v>
      </c>
      <c r="AJ100" s="296">
        <f t="shared" ref="AJ100" si="66">100%-AJ99</f>
        <v>0.55381344671804411</v>
      </c>
      <c r="AK100" s="832">
        <f t="shared" ref="AK100" si="67">100%-AK99</f>
        <v>0.61613714711637013</v>
      </c>
      <c r="AL100" s="832">
        <f t="shared" ref="AL100" si="68">100%-AL99</f>
        <v>0.56123101518784968</v>
      </c>
      <c r="AM100" s="832">
        <f t="shared" ref="AM100" si="69">100%-AM99</f>
        <v>0.58478983715576782</v>
      </c>
      <c r="AN100" s="833">
        <f t="shared" ref="AN100" si="70">100%-AN99</f>
        <v>0.52773212294951422</v>
      </c>
      <c r="AO100" s="426">
        <f t="shared" ref="AO100" si="71">100%-AO99</f>
        <v>0.58009275775954339</v>
      </c>
      <c r="AP100" s="426">
        <f t="shared" ref="AP100" si="72">100%-AP99</f>
        <v>0.55683393475674337</v>
      </c>
      <c r="AQ100" s="426">
        <f t="shared" ref="AQ100:AT100" si="73">100%-AQ99</f>
        <v>0.56392980821765049</v>
      </c>
      <c r="AR100" s="613">
        <f t="shared" si="73"/>
        <v>0.52723311546840956</v>
      </c>
      <c r="AS100" s="426">
        <f t="shared" si="73"/>
        <v>0.56664388243335617</v>
      </c>
      <c r="AT100" s="426">
        <f t="shared" si="73"/>
        <v>0.56169654569304761</v>
      </c>
    </row>
    <row r="101" spans="1:46">
      <c r="B101" s="426"/>
      <c r="C101" s="426"/>
      <c r="D101" s="426"/>
      <c r="E101" s="426"/>
      <c r="F101" s="426"/>
      <c r="G101" s="426"/>
      <c r="H101" s="426"/>
      <c r="I101" s="426"/>
      <c r="J101" s="426"/>
      <c r="K101" s="426"/>
      <c r="M101" s="426"/>
      <c r="N101" s="426"/>
      <c r="O101" s="426"/>
      <c r="P101" s="296"/>
      <c r="Q101" s="426"/>
      <c r="R101" s="426"/>
      <c r="S101" s="426"/>
      <c r="T101" s="296"/>
      <c r="U101" s="426"/>
      <c r="V101" s="426"/>
      <c r="W101" s="426"/>
      <c r="X101" s="296"/>
      <c r="Y101" s="426"/>
      <c r="Z101" s="426"/>
      <c r="AA101" s="426"/>
      <c r="AB101" s="296"/>
      <c r="AC101" s="426"/>
      <c r="AD101" s="426"/>
      <c r="AE101" s="426"/>
      <c r="AF101" s="296"/>
      <c r="AG101" s="426"/>
      <c r="AH101" s="426"/>
      <c r="AI101" s="426"/>
      <c r="AJ101" s="296"/>
      <c r="AK101" s="426"/>
      <c r="AL101" s="426"/>
      <c r="AM101" s="426"/>
      <c r="AN101" s="296"/>
      <c r="AO101" s="426"/>
      <c r="AP101" s="426"/>
      <c r="AQ101" s="426"/>
      <c r="AR101" s="296"/>
      <c r="AS101" s="426"/>
      <c r="AT101" s="426"/>
    </row>
    <row r="102" spans="1:46" ht="10.5">
      <c r="A102" s="589" t="s">
        <v>449</v>
      </c>
      <c r="B102" s="248">
        <v>2015</v>
      </c>
      <c r="C102" s="248">
        <v>2016</v>
      </c>
      <c r="D102" s="248">
        <v>2017</v>
      </c>
      <c r="E102" s="248">
        <v>2018</v>
      </c>
      <c r="F102" s="248">
        <v>2019</v>
      </c>
      <c r="G102" s="248">
        <v>2020</v>
      </c>
      <c r="H102" s="248">
        <v>2021</v>
      </c>
      <c r="I102" s="248">
        <v>2022</v>
      </c>
      <c r="J102" s="248">
        <v>2023</v>
      </c>
      <c r="K102" s="248">
        <v>2024</v>
      </c>
      <c r="M102" s="248" t="s">
        <v>769</v>
      </c>
      <c r="N102" s="248" t="s">
        <v>770</v>
      </c>
      <c r="O102" s="248" t="s">
        <v>771</v>
      </c>
      <c r="P102" s="249" t="s">
        <v>772</v>
      </c>
      <c r="Q102" s="248" t="s">
        <v>764</v>
      </c>
      <c r="R102" s="248" t="s">
        <v>765</v>
      </c>
      <c r="S102" s="248" t="s">
        <v>766</v>
      </c>
      <c r="T102" s="249" t="s">
        <v>767</v>
      </c>
      <c r="U102" s="248" t="s">
        <v>768</v>
      </c>
      <c r="V102" s="248" t="s">
        <v>730</v>
      </c>
      <c r="W102" s="248" t="s">
        <v>731</v>
      </c>
      <c r="X102" s="249" t="s">
        <v>732</v>
      </c>
      <c r="Y102" s="248" t="s">
        <v>733</v>
      </c>
      <c r="Z102" s="248" t="s">
        <v>626</v>
      </c>
      <c r="AA102" s="248" t="s">
        <v>620</v>
      </c>
      <c r="AB102" s="249" t="s">
        <v>619</v>
      </c>
      <c r="AC102" s="248" t="s">
        <v>614</v>
      </c>
      <c r="AD102" s="248" t="s">
        <v>604</v>
      </c>
      <c r="AE102" s="248" t="s">
        <v>589</v>
      </c>
      <c r="AF102" s="249" t="s">
        <v>587</v>
      </c>
      <c r="AG102" s="248" t="s">
        <v>504</v>
      </c>
      <c r="AH102" s="248" t="s">
        <v>551</v>
      </c>
      <c r="AI102" s="248" t="s">
        <v>532</v>
      </c>
      <c r="AJ102" s="249" t="s">
        <v>530</v>
      </c>
      <c r="AK102" s="248" t="s">
        <v>803</v>
      </c>
      <c r="AL102" s="248" t="s">
        <v>812</v>
      </c>
      <c r="AM102" s="248" t="s">
        <v>816</v>
      </c>
      <c r="AN102" s="249" t="s">
        <v>835</v>
      </c>
      <c r="AO102" s="248" t="s">
        <v>872</v>
      </c>
      <c r="AP102" s="248" t="s">
        <v>986</v>
      </c>
      <c r="AQ102" s="248" t="s">
        <v>1016</v>
      </c>
      <c r="AR102" s="249" t="s">
        <v>1039</v>
      </c>
      <c r="AS102" s="248" t="s">
        <v>1076</v>
      </c>
      <c r="AT102" s="248" t="s">
        <v>1285</v>
      </c>
    </row>
    <row r="103" spans="1:46">
      <c r="A103" s="42" t="s">
        <v>246</v>
      </c>
      <c r="B103" s="251">
        <v>94.566126888812335</v>
      </c>
      <c r="C103" s="251">
        <v>102.72515610117472</v>
      </c>
      <c r="D103" s="251">
        <v>109.78986775176296</v>
      </c>
      <c r="E103" s="251">
        <v>104.04695164681151</v>
      </c>
      <c r="F103" s="251">
        <v>95.376534742899196</v>
      </c>
      <c r="G103" s="251">
        <f>G4/G18*100</f>
        <v>101.20696698481078</v>
      </c>
      <c r="H103" s="251">
        <f>H4/H18*100</f>
        <v>117.71145975443382</v>
      </c>
      <c r="I103" s="551">
        <f>I4/I18*100</f>
        <v>109.73421756117622</v>
      </c>
      <c r="J103" s="251">
        <f>J4/J18*100</f>
        <v>98.205343993267419</v>
      </c>
      <c r="K103" s="251">
        <f>K4/K18*100</f>
        <v>96.951792942715784</v>
      </c>
      <c r="M103" s="251">
        <v>118.77832019793486</v>
      </c>
      <c r="N103" s="251">
        <v>115.06893147488444</v>
      </c>
      <c r="O103" s="251">
        <v>115.85275619681835</v>
      </c>
      <c r="P103" s="252">
        <v>92.43053337591823</v>
      </c>
      <c r="Q103" s="251">
        <v>125.22295137136126</v>
      </c>
      <c r="R103" s="251">
        <v>108.49146757679181</v>
      </c>
      <c r="S103" s="251">
        <v>100.16717748676511</v>
      </c>
      <c r="T103" s="252">
        <v>87.916975537435135</v>
      </c>
      <c r="U103" s="251">
        <v>101.86929023190443</v>
      </c>
      <c r="V103" s="251">
        <v>99.675408984679308</v>
      </c>
      <c r="W103" s="251">
        <v>93.727842923370602</v>
      </c>
      <c r="X103" s="252">
        <v>86.692506459948319</v>
      </c>
      <c r="Y103" s="251">
        <v>107.9343365253078</v>
      </c>
      <c r="Z103" s="251">
        <v>95.437558393023977</v>
      </c>
      <c r="AA103" s="251">
        <v>109</v>
      </c>
      <c r="AB103" s="252">
        <v>93</v>
      </c>
      <c r="AC103" s="251">
        <v>125</v>
      </c>
      <c r="AD103" s="251">
        <v>117</v>
      </c>
      <c r="AE103" s="251">
        <v>129</v>
      </c>
      <c r="AF103" s="252">
        <v>104</v>
      </c>
      <c r="AG103" s="551">
        <f>AG4/AG18*100</f>
        <v>127.75486152033</v>
      </c>
      <c r="AH103" s="551">
        <f>AH4/AH18*100</f>
        <v>120.27593818984548</v>
      </c>
      <c r="AI103" s="551">
        <f>AI4/AI18*100</f>
        <v>97.229394240317774</v>
      </c>
      <c r="AJ103" s="572">
        <f>AJ4/AJ18*100</f>
        <v>98.883869253255384</v>
      </c>
      <c r="AK103" s="251">
        <f>AK4/AK18*100</f>
        <v>107.5095499860244</v>
      </c>
      <c r="AL103" s="251">
        <v>98</v>
      </c>
      <c r="AM103" s="251">
        <v>96.436183817887283</v>
      </c>
      <c r="AN103" s="252">
        <v>91.981207198598497</v>
      </c>
      <c r="AO103" s="251">
        <v>98.332144131287905</v>
      </c>
      <c r="AP103" s="251">
        <v>98.977309044423137</v>
      </c>
      <c r="AQ103" s="251">
        <v>100</v>
      </c>
      <c r="AR103" s="252">
        <v>91.503267973856211</v>
      </c>
      <c r="AS103" s="251">
        <v>106</v>
      </c>
      <c r="AT103" s="251">
        <v>100.62090074333187</v>
      </c>
    </row>
    <row r="104" spans="1:46">
      <c r="A104" s="42" t="s">
        <v>247</v>
      </c>
      <c r="B104" s="251">
        <v>100.25964391691396</v>
      </c>
      <c r="C104" s="251">
        <v>100.27760252365931</v>
      </c>
      <c r="D104" s="251">
        <v>103.53659387401122</v>
      </c>
      <c r="E104" s="251">
        <v>100.96648807647861</v>
      </c>
      <c r="F104" s="251">
        <v>99.712936382998436</v>
      </c>
      <c r="G104" s="251">
        <f>G7/G21*100</f>
        <v>101.78413120567376</v>
      </c>
      <c r="H104" s="251">
        <f>H7/H21*100</f>
        <v>108.03527682508573</v>
      </c>
      <c r="I104" s="551">
        <f>I7/I21*100</f>
        <v>98.741439940773645</v>
      </c>
      <c r="J104" s="251">
        <f>J7/J21*100</f>
        <v>94.820403992769002</v>
      </c>
      <c r="K104" s="251">
        <f>K7/K21*100</f>
        <v>100.1571038251366</v>
      </c>
      <c r="M104" s="251">
        <v>108.3412565233827</v>
      </c>
      <c r="N104" s="251">
        <v>98.807825565245977</v>
      </c>
      <c r="O104" s="251">
        <v>104.5846457733349</v>
      </c>
      <c r="P104" s="252">
        <v>102.71154745208042</v>
      </c>
      <c r="Q104" s="251">
        <v>113.58574610244989</v>
      </c>
      <c r="R104" s="251">
        <v>100.73409461663947</v>
      </c>
      <c r="S104" s="251">
        <v>95.927791771620491</v>
      </c>
      <c r="T104" s="252">
        <v>94.508196721311478</v>
      </c>
      <c r="U104" s="251">
        <v>105.95009596928983</v>
      </c>
      <c r="V104" s="251">
        <v>96.582365003417635</v>
      </c>
      <c r="W104" s="251">
        <v>96.383363471971066</v>
      </c>
      <c r="X104" s="252">
        <v>100.55932880543348</v>
      </c>
      <c r="Y104" s="251">
        <v>104.55089820359282</v>
      </c>
      <c r="Z104" s="251">
        <v>97.297297297297305</v>
      </c>
      <c r="AA104" s="251">
        <v>102</v>
      </c>
      <c r="AB104" s="252">
        <v>102</v>
      </c>
      <c r="AC104" s="251">
        <v>114</v>
      </c>
      <c r="AD104" s="251">
        <v>106</v>
      </c>
      <c r="AE104" s="251">
        <v>106</v>
      </c>
      <c r="AF104" s="252">
        <v>106</v>
      </c>
      <c r="AG104" s="551">
        <f>AG7/AG21*100</f>
        <v>114.76043276661514</v>
      </c>
      <c r="AH104" s="551">
        <f>AH7/AH21*100</f>
        <v>89.298496778811739</v>
      </c>
      <c r="AI104" s="551">
        <f>AI7/AI21*100</f>
        <v>92.290667650313537</v>
      </c>
      <c r="AJ104" s="552">
        <f>AJ7/AJ21*100</f>
        <v>99.631404349428678</v>
      </c>
      <c r="AK104" s="251">
        <f>AK7/AK21*100</f>
        <v>100.25599999999999</v>
      </c>
      <c r="AL104" s="251">
        <v>93</v>
      </c>
      <c r="AM104" s="251">
        <v>91.517996870109542</v>
      </c>
      <c r="AN104" s="252">
        <v>94.706867671691796</v>
      </c>
      <c r="AO104" s="251">
        <v>105.86639538826721</v>
      </c>
      <c r="AP104" s="251">
        <v>98.897519418692056</v>
      </c>
      <c r="AQ104" s="251">
        <v>96</v>
      </c>
      <c r="AR104" s="252">
        <v>101.20791570290413</v>
      </c>
      <c r="AS104" s="251">
        <v>110</v>
      </c>
      <c r="AT104" s="251">
        <v>102.12824010914052</v>
      </c>
    </row>
    <row r="105" spans="1:46" ht="10.5">
      <c r="A105" s="258" t="s">
        <v>245</v>
      </c>
      <c r="B105" s="298">
        <v>96.120434009001158</v>
      </c>
      <c r="C105" s="298">
        <v>101.9629547634861</v>
      </c>
      <c r="D105" s="298">
        <v>107.86485465678139</v>
      </c>
      <c r="E105" s="298">
        <v>102.91236776805536</v>
      </c>
      <c r="F105" s="298">
        <v>96.678009253592506</v>
      </c>
      <c r="G105" s="298">
        <f>G9/G23*100</f>
        <v>101.26515696805272</v>
      </c>
      <c r="H105" s="298">
        <f>H9/H23*100</f>
        <v>115.14188422247446</v>
      </c>
      <c r="I105" s="298">
        <f>I9/I23*100</f>
        <v>107.09944862558859</v>
      </c>
      <c r="J105" s="298">
        <f>J9/J23*100</f>
        <v>97.607013240972435</v>
      </c>
      <c r="K105" s="298">
        <f>K9/K23*100</f>
        <v>97.813030627004593</v>
      </c>
      <c r="M105" s="298">
        <v>114.96040280340173</v>
      </c>
      <c r="N105" s="298">
        <v>109.93166026423151</v>
      </c>
      <c r="O105" s="298">
        <v>112.89299955331273</v>
      </c>
      <c r="P105" s="299">
        <v>95.203213610586019</v>
      </c>
      <c r="Q105" s="298">
        <v>121.89967205150005</v>
      </c>
      <c r="R105" s="298">
        <v>106.50208269836432</v>
      </c>
      <c r="S105" s="298">
        <v>97.533934307325666</v>
      </c>
      <c r="T105" s="299">
        <v>89.676075014207228</v>
      </c>
      <c r="U105" s="298">
        <v>102.84108329075114</v>
      </c>
      <c r="V105" s="298">
        <v>99.313005834744956</v>
      </c>
      <c r="W105" s="298">
        <v>94.506792675723574</v>
      </c>
      <c r="X105" s="299">
        <v>90.233463035019454</v>
      </c>
      <c r="Y105" s="298">
        <v>106.98489161375082</v>
      </c>
      <c r="Z105" s="298">
        <v>95.826436509813192</v>
      </c>
      <c r="AA105" s="298">
        <v>107</v>
      </c>
      <c r="AB105" s="299">
        <v>95</v>
      </c>
      <c r="AC105" s="298">
        <v>122</v>
      </c>
      <c r="AD105" s="298">
        <v>114</v>
      </c>
      <c r="AE105" s="298">
        <v>123</v>
      </c>
      <c r="AF105" s="299">
        <v>104</v>
      </c>
      <c r="AG105" s="298">
        <v>125</v>
      </c>
      <c r="AH105" s="298">
        <v>112.71486349848333</v>
      </c>
      <c r="AI105" s="298">
        <v>96</v>
      </c>
      <c r="AJ105" s="299">
        <v>98</v>
      </c>
      <c r="AK105" s="298">
        <f>AK9/AK23*100</f>
        <v>106.10758580905681</v>
      </c>
      <c r="AL105" s="298">
        <v>97</v>
      </c>
      <c r="AM105" s="298">
        <v>95.752483830099351</v>
      </c>
      <c r="AN105" s="299">
        <v>92.420349434737929</v>
      </c>
      <c r="AO105" s="298">
        <v>100.13434207735274</v>
      </c>
      <c r="AP105" s="298">
        <v>99.018835927563444</v>
      </c>
      <c r="AQ105" s="298">
        <v>99</v>
      </c>
      <c r="AR105" s="299">
        <v>93.803257782157559</v>
      </c>
      <c r="AS105" s="298">
        <v>107</v>
      </c>
      <c r="AT105" s="298">
        <v>100.96497025776603</v>
      </c>
    </row>
    <row r="106" spans="1:46">
      <c r="B106" s="431"/>
      <c r="C106" s="431"/>
      <c r="D106" s="431"/>
      <c r="E106" s="431"/>
      <c r="F106" s="431"/>
      <c r="G106" s="431"/>
      <c r="H106" s="431"/>
      <c r="I106" s="431"/>
      <c r="J106" s="431"/>
      <c r="K106" s="431"/>
      <c r="M106" s="431"/>
      <c r="N106" s="431"/>
      <c r="O106" s="431"/>
      <c r="P106" s="432"/>
      <c r="Q106" s="431"/>
      <c r="R106" s="431"/>
      <c r="S106" s="431"/>
      <c r="T106" s="432"/>
      <c r="U106" s="431"/>
      <c r="V106" s="431"/>
      <c r="W106" s="431"/>
      <c r="X106" s="432"/>
      <c r="Y106" s="431"/>
      <c r="Z106" s="431"/>
      <c r="AA106" s="431"/>
      <c r="AB106" s="432"/>
      <c r="AC106" s="431"/>
      <c r="AD106" s="431"/>
      <c r="AE106" s="431"/>
      <c r="AF106" s="432"/>
      <c r="AG106" s="431"/>
      <c r="AH106" s="431"/>
      <c r="AI106" s="431"/>
      <c r="AJ106" s="432"/>
      <c r="AK106" s="431"/>
      <c r="AL106" s="431"/>
      <c r="AM106" s="431"/>
      <c r="AN106" s="432"/>
      <c r="AO106" s="431"/>
      <c r="AP106" s="431"/>
      <c r="AQ106" s="431"/>
      <c r="AR106" s="432"/>
      <c r="AS106" s="431"/>
      <c r="AT106" s="431"/>
    </row>
    <row r="107" spans="1:46" ht="10.5">
      <c r="A107" s="589" t="s">
        <v>960</v>
      </c>
      <c r="B107" s="248">
        <v>2015</v>
      </c>
      <c r="C107" s="248">
        <v>2016</v>
      </c>
      <c r="D107" s="248">
        <v>2017</v>
      </c>
      <c r="E107" s="248">
        <v>2018</v>
      </c>
      <c r="F107" s="248">
        <v>2019</v>
      </c>
      <c r="G107" s="248">
        <v>2020</v>
      </c>
      <c r="H107" s="248">
        <v>2021</v>
      </c>
      <c r="I107" s="248">
        <v>2022</v>
      </c>
      <c r="J107" s="248">
        <v>2023</v>
      </c>
      <c r="K107" s="248">
        <v>2024</v>
      </c>
      <c r="M107" s="248" t="s">
        <v>769</v>
      </c>
      <c r="N107" s="248" t="s">
        <v>770</v>
      </c>
      <c r="O107" s="248" t="s">
        <v>771</v>
      </c>
      <c r="P107" s="249" t="s">
        <v>772</v>
      </c>
      <c r="Q107" s="248" t="s">
        <v>764</v>
      </c>
      <c r="R107" s="248" t="s">
        <v>765</v>
      </c>
      <c r="S107" s="248" t="s">
        <v>766</v>
      </c>
      <c r="T107" s="249" t="s">
        <v>767</v>
      </c>
      <c r="U107" s="248" t="s">
        <v>768</v>
      </c>
      <c r="V107" s="248" t="s">
        <v>730</v>
      </c>
      <c r="W107" s="248" t="s">
        <v>731</v>
      </c>
      <c r="X107" s="249" t="s">
        <v>732</v>
      </c>
      <c r="Y107" s="248" t="s">
        <v>733</v>
      </c>
      <c r="Z107" s="248" t="s">
        <v>626</v>
      </c>
      <c r="AA107" s="248" t="s">
        <v>620</v>
      </c>
      <c r="AB107" s="249" t="s">
        <v>619</v>
      </c>
      <c r="AC107" s="248" t="s">
        <v>614</v>
      </c>
      <c r="AD107" s="248" t="s">
        <v>604</v>
      </c>
      <c r="AE107" s="248" t="s">
        <v>589</v>
      </c>
      <c r="AF107" s="249" t="s">
        <v>587</v>
      </c>
      <c r="AG107" s="248" t="s">
        <v>504</v>
      </c>
      <c r="AH107" s="248" t="s">
        <v>551</v>
      </c>
      <c r="AI107" s="248" t="s">
        <v>532</v>
      </c>
      <c r="AJ107" s="249" t="s">
        <v>530</v>
      </c>
      <c r="AK107" s="248" t="s">
        <v>803</v>
      </c>
      <c r="AL107" s="248" t="s">
        <v>812</v>
      </c>
      <c r="AM107" s="248" t="s">
        <v>816</v>
      </c>
      <c r="AN107" s="249" t="s">
        <v>835</v>
      </c>
      <c r="AO107" s="248" t="s">
        <v>872</v>
      </c>
      <c r="AP107" s="248" t="s">
        <v>1003</v>
      </c>
      <c r="AQ107" s="248" t="s">
        <v>1016</v>
      </c>
      <c r="AR107" s="249" t="s">
        <v>1039</v>
      </c>
      <c r="AS107" s="248" t="s">
        <v>1076</v>
      </c>
      <c r="AT107" s="248" t="s">
        <v>1285</v>
      </c>
    </row>
    <row r="108" spans="1:46">
      <c r="A108" s="702" t="s">
        <v>246</v>
      </c>
      <c r="B108" s="265"/>
      <c r="C108" s="265"/>
      <c r="D108" s="265"/>
      <c r="E108" s="265"/>
      <c r="F108" s="265"/>
      <c r="G108" s="265"/>
      <c r="H108" s="265"/>
      <c r="I108" s="559"/>
      <c r="J108" s="703">
        <v>-1</v>
      </c>
      <c r="K108" s="703">
        <v>0</v>
      </c>
      <c r="L108" s="702"/>
      <c r="M108" s="265"/>
      <c r="N108" s="265"/>
      <c r="O108" s="265"/>
      <c r="P108" s="266"/>
      <c r="Q108" s="265"/>
      <c r="R108" s="265"/>
      <c r="S108" s="265"/>
      <c r="T108" s="266"/>
      <c r="U108" s="265"/>
      <c r="V108" s="265"/>
      <c r="W108" s="265"/>
      <c r="X108" s="266"/>
      <c r="Y108" s="265"/>
      <c r="Z108" s="265"/>
      <c r="AA108" s="265"/>
      <c r="AB108" s="266"/>
      <c r="AC108" s="265"/>
      <c r="AD108" s="265"/>
      <c r="AE108" s="265"/>
      <c r="AF108" s="266"/>
      <c r="AG108" s="559"/>
      <c r="AH108" s="559"/>
      <c r="AI108" s="559"/>
      <c r="AJ108" s="565"/>
      <c r="AK108" s="703">
        <v>-1.3</v>
      </c>
      <c r="AL108" s="703">
        <v>-1.1000000000000001</v>
      </c>
      <c r="AM108" s="703">
        <v>-1.1000000000000001</v>
      </c>
      <c r="AN108" s="799">
        <v>-0.5</v>
      </c>
      <c r="AO108" s="830">
        <v>-0.1</v>
      </c>
      <c r="AP108" s="703">
        <v>-0.1</v>
      </c>
      <c r="AQ108" s="703">
        <v>0</v>
      </c>
      <c r="AR108" s="799">
        <v>0</v>
      </c>
      <c r="AS108" s="830">
        <v>0</v>
      </c>
      <c r="AT108" s="703">
        <v>0</v>
      </c>
    </row>
    <row r="109" spans="1:46">
      <c r="A109" s="702" t="s">
        <v>247</v>
      </c>
      <c r="B109" s="265"/>
      <c r="C109" s="265"/>
      <c r="D109" s="265"/>
      <c r="E109" s="265"/>
      <c r="F109" s="265"/>
      <c r="G109" s="265"/>
      <c r="H109" s="265"/>
      <c r="I109" s="559"/>
      <c r="J109" s="703">
        <v>-0.4</v>
      </c>
      <c r="K109" s="703">
        <v>-2.8</v>
      </c>
      <c r="L109" s="702"/>
      <c r="M109" s="265"/>
      <c r="N109" s="265"/>
      <c r="O109" s="265"/>
      <c r="P109" s="266"/>
      <c r="Q109" s="265"/>
      <c r="R109" s="265"/>
      <c r="S109" s="265"/>
      <c r="T109" s="266"/>
      <c r="U109" s="265"/>
      <c r="V109" s="265"/>
      <c r="W109" s="265"/>
      <c r="X109" s="266"/>
      <c r="Y109" s="265"/>
      <c r="Z109" s="265"/>
      <c r="AA109" s="265"/>
      <c r="AB109" s="266"/>
      <c r="AC109" s="265"/>
      <c r="AD109" s="265"/>
      <c r="AE109" s="265"/>
      <c r="AF109" s="266"/>
      <c r="AG109" s="559"/>
      <c r="AH109" s="559"/>
      <c r="AI109" s="559"/>
      <c r="AJ109" s="560"/>
      <c r="AK109" s="703">
        <v>-1.2</v>
      </c>
      <c r="AL109" s="703">
        <v>0.4</v>
      </c>
      <c r="AM109" s="703">
        <v>0.4</v>
      </c>
      <c r="AN109" s="799">
        <v>-0.7</v>
      </c>
      <c r="AO109" s="703">
        <v>-0.2</v>
      </c>
      <c r="AP109" s="703">
        <v>-2.2000000000000002</v>
      </c>
      <c r="AQ109" s="703">
        <v>-3.9</v>
      </c>
      <c r="AR109" s="799">
        <v>-4</v>
      </c>
      <c r="AS109" s="703">
        <v>-2.7</v>
      </c>
      <c r="AT109" s="703">
        <v>0</v>
      </c>
    </row>
    <row r="110" spans="1:46" ht="10.5">
      <c r="A110" s="258" t="s">
        <v>245</v>
      </c>
      <c r="B110" s="298"/>
      <c r="C110" s="298"/>
      <c r="D110" s="298"/>
      <c r="E110" s="298"/>
      <c r="F110" s="298"/>
      <c r="G110" s="298"/>
      <c r="H110" s="298"/>
      <c r="I110" s="298"/>
      <c r="J110" s="635">
        <v>-0.9</v>
      </c>
      <c r="K110" s="635">
        <v>-1</v>
      </c>
      <c r="M110" s="298"/>
      <c r="N110" s="298"/>
      <c r="O110" s="298"/>
      <c r="P110" s="299"/>
      <c r="Q110" s="298"/>
      <c r="R110" s="298"/>
      <c r="S110" s="298"/>
      <c r="T110" s="299"/>
      <c r="U110" s="298"/>
      <c r="V110" s="298"/>
      <c r="W110" s="298"/>
      <c r="X110" s="299"/>
      <c r="Y110" s="298"/>
      <c r="Z110" s="298"/>
      <c r="AA110" s="298"/>
      <c r="AB110" s="299"/>
      <c r="AC110" s="298"/>
      <c r="AD110" s="298"/>
      <c r="AE110" s="298"/>
      <c r="AF110" s="299"/>
      <c r="AG110" s="298"/>
      <c r="AH110" s="298"/>
      <c r="AI110" s="298"/>
      <c r="AJ110" s="299"/>
      <c r="AK110" s="635">
        <v>-1.3</v>
      </c>
      <c r="AL110" s="635">
        <v>-0.9</v>
      </c>
      <c r="AM110" s="635">
        <v>-1</v>
      </c>
      <c r="AN110" s="751">
        <v>-0.7</v>
      </c>
      <c r="AO110" s="635">
        <v>-0.2</v>
      </c>
      <c r="AP110" s="635">
        <v>-0.9</v>
      </c>
      <c r="AQ110" s="635">
        <v>-1.3</v>
      </c>
      <c r="AR110" s="751">
        <v>-1.4</v>
      </c>
      <c r="AS110" s="635">
        <v>-1</v>
      </c>
      <c r="AT110" s="635">
        <v>0</v>
      </c>
    </row>
    <row r="111" spans="1:46">
      <c r="A111" s="54"/>
      <c r="AL111" s="399"/>
      <c r="AM111" s="399"/>
    </row>
    <row r="112" spans="1:46" ht="10.5">
      <c r="A112" s="589" t="s">
        <v>1036</v>
      </c>
      <c r="B112" s="248">
        <v>2015</v>
      </c>
      <c r="C112" s="248">
        <v>2016</v>
      </c>
      <c r="D112" s="248">
        <v>2017</v>
      </c>
      <c r="E112" s="248">
        <v>2018</v>
      </c>
      <c r="F112" s="248">
        <v>2019</v>
      </c>
      <c r="G112" s="248">
        <v>2020</v>
      </c>
      <c r="H112" s="248">
        <v>2021</v>
      </c>
      <c r="I112" s="248">
        <v>2022</v>
      </c>
      <c r="J112" s="248">
        <v>2023</v>
      </c>
      <c r="K112" s="248">
        <v>2024</v>
      </c>
      <c r="M112" s="248" t="s">
        <v>769</v>
      </c>
      <c r="N112" s="248" t="s">
        <v>770</v>
      </c>
      <c r="O112" s="248" t="s">
        <v>771</v>
      </c>
      <c r="P112" s="249" t="s">
        <v>772</v>
      </c>
      <c r="Q112" s="248" t="s">
        <v>764</v>
      </c>
      <c r="R112" s="248" t="s">
        <v>765</v>
      </c>
      <c r="S112" s="248" t="s">
        <v>766</v>
      </c>
      <c r="T112" s="249" t="s">
        <v>767</v>
      </c>
      <c r="U112" s="248" t="s">
        <v>768</v>
      </c>
      <c r="V112" s="248" t="s">
        <v>730</v>
      </c>
      <c r="W112" s="248" t="s">
        <v>731</v>
      </c>
      <c r="X112" s="249" t="s">
        <v>732</v>
      </c>
      <c r="Y112" s="248" t="s">
        <v>733</v>
      </c>
      <c r="Z112" s="248" t="s">
        <v>626</v>
      </c>
      <c r="AA112" s="248" t="s">
        <v>620</v>
      </c>
      <c r="AB112" s="249" t="s">
        <v>619</v>
      </c>
      <c r="AC112" s="248" t="s">
        <v>614</v>
      </c>
      <c r="AD112" s="248" t="s">
        <v>604</v>
      </c>
      <c r="AE112" s="248" t="s">
        <v>589</v>
      </c>
      <c r="AF112" s="249" t="s">
        <v>587</v>
      </c>
      <c r="AG112" s="248" t="s">
        <v>504</v>
      </c>
      <c r="AH112" s="248" t="s">
        <v>551</v>
      </c>
      <c r="AI112" s="248" t="s">
        <v>532</v>
      </c>
      <c r="AJ112" s="249" t="s">
        <v>530</v>
      </c>
      <c r="AK112" s="248" t="s">
        <v>803</v>
      </c>
      <c r="AL112" s="248" t="s">
        <v>812</v>
      </c>
      <c r="AM112" s="248" t="s">
        <v>816</v>
      </c>
      <c r="AN112" s="249" t="s">
        <v>835</v>
      </c>
      <c r="AO112" s="248" t="s">
        <v>872</v>
      </c>
      <c r="AP112" s="248" t="s">
        <v>986</v>
      </c>
      <c r="AQ112" s="248" t="s">
        <v>1016</v>
      </c>
      <c r="AR112" s="249" t="s">
        <v>1039</v>
      </c>
      <c r="AS112" s="248" t="s">
        <v>1076</v>
      </c>
      <c r="AT112" s="248" t="s">
        <v>1285</v>
      </c>
    </row>
    <row r="113" spans="1:46">
      <c r="A113" s="42" t="s">
        <v>840</v>
      </c>
      <c r="B113" s="426"/>
      <c r="C113" s="426"/>
      <c r="D113" s="426"/>
      <c r="E113" s="426">
        <v>0.73</v>
      </c>
      <c r="F113" s="426">
        <v>0.76</v>
      </c>
      <c r="G113" s="426">
        <v>0.76</v>
      </c>
      <c r="H113" s="426">
        <v>0.77</v>
      </c>
      <c r="I113" s="426">
        <v>0.77</v>
      </c>
      <c r="J113" s="426">
        <v>0.83</v>
      </c>
      <c r="K113" s="426">
        <v>0.78</v>
      </c>
      <c r="M113" s="426"/>
      <c r="N113" s="426"/>
      <c r="O113" s="426"/>
      <c r="P113" s="296"/>
      <c r="Q113" s="426"/>
      <c r="R113" s="426">
        <v>0.7</v>
      </c>
      <c r="S113" s="426">
        <v>0.7</v>
      </c>
      <c r="T113" s="296">
        <v>0.73</v>
      </c>
      <c r="U113" s="426">
        <v>0.74</v>
      </c>
      <c r="V113" s="426">
        <v>0.75</v>
      </c>
      <c r="W113" s="426">
        <v>0.79</v>
      </c>
      <c r="X113" s="296">
        <v>0.76</v>
      </c>
      <c r="Y113" s="426">
        <v>0.76</v>
      </c>
      <c r="Z113" s="426">
        <v>0.77</v>
      </c>
      <c r="AA113" s="426">
        <v>0.77</v>
      </c>
      <c r="AB113" s="296">
        <v>0.75</v>
      </c>
      <c r="AC113" s="426">
        <v>0.72</v>
      </c>
      <c r="AD113" s="426">
        <v>0.82</v>
      </c>
      <c r="AE113" s="426">
        <v>0.78</v>
      </c>
      <c r="AF113" s="296">
        <v>0.76</v>
      </c>
      <c r="AG113" s="426">
        <v>0.77</v>
      </c>
      <c r="AH113" s="426">
        <v>0.73</v>
      </c>
      <c r="AI113" s="426">
        <v>0.81</v>
      </c>
      <c r="AJ113" s="296">
        <v>0.79</v>
      </c>
      <c r="AK113" s="426">
        <v>0.82</v>
      </c>
      <c r="AL113" s="426">
        <v>0.81</v>
      </c>
      <c r="AM113" s="426">
        <v>0.86</v>
      </c>
      <c r="AN113" s="296">
        <v>0.84</v>
      </c>
      <c r="AO113" s="426">
        <v>0.79</v>
      </c>
      <c r="AP113" s="426">
        <v>0.77</v>
      </c>
      <c r="AQ113" s="426">
        <v>0.78</v>
      </c>
      <c r="AR113" s="296">
        <v>0.78</v>
      </c>
      <c r="AS113" s="426">
        <v>0.78</v>
      </c>
      <c r="AT113" s="426">
        <v>0.79</v>
      </c>
    </row>
    <row r="114" spans="1:46">
      <c r="A114" s="42" t="s">
        <v>1035</v>
      </c>
      <c r="B114" s="426"/>
      <c r="C114" s="426"/>
      <c r="D114" s="426"/>
      <c r="E114" s="426">
        <f>100%-E113</f>
        <v>0.27</v>
      </c>
      <c r="F114" s="426">
        <f t="shared" ref="F114:J114" si="74">100%-F113</f>
        <v>0.24</v>
      </c>
      <c r="G114" s="426">
        <f t="shared" si="74"/>
        <v>0.24</v>
      </c>
      <c r="H114" s="426">
        <f t="shared" si="74"/>
        <v>0.22999999999999998</v>
      </c>
      <c r="I114" s="426">
        <f t="shared" si="74"/>
        <v>0.22999999999999998</v>
      </c>
      <c r="J114" s="426">
        <f t="shared" si="74"/>
        <v>0.17000000000000004</v>
      </c>
      <c r="K114" s="426">
        <v>0.22</v>
      </c>
      <c r="M114" s="426"/>
      <c r="N114" s="426"/>
      <c r="O114" s="426"/>
      <c r="P114" s="296"/>
      <c r="Q114" s="426"/>
      <c r="R114" s="426">
        <f>100%-R113</f>
        <v>0.30000000000000004</v>
      </c>
      <c r="S114" s="426">
        <f t="shared" ref="S114:T114" si="75">100%-S113</f>
        <v>0.30000000000000004</v>
      </c>
      <c r="T114" s="296">
        <f t="shared" si="75"/>
        <v>0.27</v>
      </c>
      <c r="U114" s="426">
        <f t="shared" ref="U114" si="76">100%-U113</f>
        <v>0.26</v>
      </c>
      <c r="V114" s="426">
        <f t="shared" ref="V114" si="77">100%-V113</f>
        <v>0.25</v>
      </c>
      <c r="W114" s="426">
        <f t="shared" ref="W114" si="78">100%-W113</f>
        <v>0.20999999999999996</v>
      </c>
      <c r="X114" s="296">
        <f t="shared" ref="X114" si="79">100%-X113</f>
        <v>0.24</v>
      </c>
      <c r="Y114" s="426">
        <f t="shared" ref="Y114" si="80">100%-Y113</f>
        <v>0.24</v>
      </c>
      <c r="Z114" s="426">
        <f t="shared" ref="Z114" si="81">100%-Z113</f>
        <v>0.22999999999999998</v>
      </c>
      <c r="AA114" s="426">
        <f t="shared" ref="AA114" si="82">100%-AA113</f>
        <v>0.22999999999999998</v>
      </c>
      <c r="AB114" s="296">
        <f t="shared" ref="AB114" si="83">100%-AB113</f>
        <v>0.25</v>
      </c>
      <c r="AC114" s="426">
        <f t="shared" ref="AC114" si="84">100%-AC113</f>
        <v>0.28000000000000003</v>
      </c>
      <c r="AD114" s="426">
        <f t="shared" ref="AD114" si="85">100%-AD113</f>
        <v>0.18000000000000005</v>
      </c>
      <c r="AE114" s="426">
        <f t="shared" ref="AE114" si="86">100%-AE113</f>
        <v>0.21999999999999997</v>
      </c>
      <c r="AF114" s="296">
        <f t="shared" ref="AF114" si="87">100%-AF113</f>
        <v>0.24</v>
      </c>
      <c r="AG114" s="426">
        <f t="shared" ref="AG114" si="88">100%-AG113</f>
        <v>0.22999999999999998</v>
      </c>
      <c r="AH114" s="426">
        <f t="shared" ref="AH114" si="89">100%-AH113</f>
        <v>0.27</v>
      </c>
      <c r="AI114" s="426">
        <f t="shared" ref="AI114" si="90">100%-AI113</f>
        <v>0.18999999999999995</v>
      </c>
      <c r="AJ114" s="296">
        <f t="shared" ref="AJ114" si="91">100%-AJ113</f>
        <v>0.20999999999999996</v>
      </c>
      <c r="AK114" s="426">
        <f t="shared" ref="AK114" si="92">100%-AK113</f>
        <v>0.18000000000000005</v>
      </c>
      <c r="AL114" s="426">
        <f t="shared" ref="AL114" si="93">100%-AL113</f>
        <v>0.18999999999999995</v>
      </c>
      <c r="AM114" s="426">
        <f t="shared" ref="AM114" si="94">100%-AM113</f>
        <v>0.14000000000000001</v>
      </c>
      <c r="AN114" s="296">
        <f t="shared" ref="AN114" si="95">100%-AN113</f>
        <v>0.16000000000000003</v>
      </c>
      <c r="AO114" s="426">
        <f t="shared" ref="AO114" si="96">100%-AO113</f>
        <v>0.20999999999999996</v>
      </c>
      <c r="AP114" s="426">
        <f>100%-AP113</f>
        <v>0.22999999999999998</v>
      </c>
      <c r="AQ114" s="426">
        <f>100%-AQ113</f>
        <v>0.21999999999999997</v>
      </c>
      <c r="AR114" s="296">
        <v>0.22</v>
      </c>
      <c r="AS114" s="426">
        <v>0.22</v>
      </c>
      <c r="AT114" s="426">
        <v>0.21</v>
      </c>
    </row>
    <row r="115" spans="1:46">
      <c r="A115" s="54"/>
      <c r="AL115" s="399"/>
      <c r="AM115" s="399"/>
    </row>
    <row r="116" spans="1:46">
      <c r="A116" s="42" t="s">
        <v>727</v>
      </c>
      <c r="AL116" s="399"/>
      <c r="AM116" s="399"/>
    </row>
    <row r="117" spans="1:46">
      <c r="A117" s="42" t="s">
        <v>1004</v>
      </c>
      <c r="B117" s="414"/>
      <c r="C117" s="414"/>
      <c r="D117" s="414"/>
      <c r="E117" s="151"/>
      <c r="K117" s="414"/>
      <c r="M117" s="414"/>
      <c r="N117" s="414"/>
      <c r="O117" s="414"/>
      <c r="Q117" s="414"/>
      <c r="R117" s="414"/>
      <c r="S117" s="414"/>
      <c r="U117" s="414"/>
      <c r="V117" s="414"/>
      <c r="W117" s="414"/>
      <c r="Y117" s="414"/>
      <c r="Z117" s="414"/>
      <c r="AA117" s="414"/>
      <c r="AC117" s="414"/>
      <c r="AD117" s="414"/>
      <c r="AE117" s="414"/>
      <c r="AG117" s="414"/>
      <c r="AH117" s="414"/>
      <c r="AI117" s="617"/>
      <c r="AJ117" s="828"/>
      <c r="AK117" s="617"/>
      <c r="AL117" s="617"/>
      <c r="AM117" s="617"/>
      <c r="AO117" s="617"/>
      <c r="AP117" s="414"/>
      <c r="AQ117" s="414"/>
      <c r="AS117" s="617"/>
      <c r="AT117" s="414"/>
    </row>
    <row r="118" spans="1:46">
      <c r="B118" s="414"/>
      <c r="C118" s="414"/>
      <c r="D118" s="414"/>
      <c r="E118" s="58"/>
      <c r="F118" s="54"/>
      <c r="K118" s="414"/>
      <c r="M118" s="414"/>
      <c r="N118" s="414"/>
      <c r="O118" s="414"/>
      <c r="Q118" s="414"/>
      <c r="R118" s="414"/>
      <c r="S118" s="414"/>
      <c r="U118" s="414"/>
      <c r="V118" s="414"/>
      <c r="W118" s="414"/>
      <c r="Y118" s="414"/>
      <c r="Z118" s="414"/>
      <c r="AA118" s="414"/>
      <c r="AC118" s="414"/>
      <c r="AD118" s="414"/>
      <c r="AE118" s="414"/>
      <c r="AG118" s="414"/>
      <c r="AH118" s="414"/>
      <c r="AI118" s="617"/>
      <c r="AJ118" s="828"/>
      <c r="AK118" s="617"/>
      <c r="AL118" s="617"/>
      <c r="AM118" s="617"/>
      <c r="AO118" s="617"/>
      <c r="AP118" s="414"/>
      <c r="AQ118" s="414"/>
      <c r="AS118" s="617"/>
      <c r="AT118" s="414"/>
    </row>
    <row r="119" spans="1:46">
      <c r="B119" s="58"/>
      <c r="C119" s="58"/>
      <c r="K119" s="58"/>
      <c r="AI119" s="618"/>
      <c r="AM119" s="618"/>
    </row>
    <row r="120" spans="1:46">
      <c r="B120" s="363"/>
      <c r="C120" s="363"/>
      <c r="D120" s="363"/>
      <c r="E120" s="415"/>
      <c r="F120" s="415"/>
      <c r="G120" s="415"/>
      <c r="H120" s="415"/>
      <c r="I120" s="415"/>
      <c r="J120" s="415"/>
      <c r="K120" s="363"/>
      <c r="L120" s="415"/>
      <c r="M120" s="415"/>
      <c r="N120" s="415"/>
      <c r="O120" s="415"/>
      <c r="Q120" s="415"/>
      <c r="R120" s="415"/>
      <c r="S120" s="415"/>
      <c r="U120" s="415"/>
      <c r="V120" s="415"/>
      <c r="W120" s="415"/>
      <c r="Y120" s="415"/>
      <c r="Z120" s="415"/>
      <c r="AA120" s="415"/>
      <c r="AC120" s="415"/>
      <c r="AD120" s="415"/>
      <c r="AE120" s="415"/>
      <c r="AG120" s="415"/>
      <c r="AH120" s="415"/>
      <c r="AI120" s="415"/>
      <c r="AK120" s="415"/>
      <c r="AL120" s="415"/>
      <c r="AM120" s="415"/>
      <c r="AO120" s="415"/>
      <c r="AP120" s="415"/>
      <c r="AQ120" s="415"/>
      <c r="AS120" s="415"/>
      <c r="AT120" s="415"/>
    </row>
    <row r="121" spans="1:46">
      <c r="B121" s="228"/>
      <c r="C121" s="228"/>
      <c r="D121" s="228"/>
      <c r="E121" s="415"/>
      <c r="F121" s="415"/>
      <c r="G121" s="415"/>
      <c r="H121" s="415"/>
      <c r="I121" s="415"/>
      <c r="J121" s="415"/>
      <c r="K121" s="228"/>
      <c r="L121" s="415"/>
      <c r="M121" s="415"/>
      <c r="N121" s="415"/>
      <c r="O121" s="415"/>
      <c r="Q121" s="415"/>
      <c r="R121" s="415"/>
      <c r="S121" s="415"/>
      <c r="U121" s="415"/>
      <c r="V121" s="415"/>
      <c r="W121" s="415"/>
      <c r="Y121" s="415"/>
      <c r="Z121" s="415"/>
      <c r="AA121" s="415"/>
      <c r="AC121" s="415"/>
      <c r="AD121" s="415"/>
      <c r="AE121" s="415"/>
      <c r="AG121" s="415"/>
      <c r="AH121" s="415"/>
      <c r="AI121" s="415"/>
      <c r="AK121" s="415"/>
      <c r="AL121" s="415"/>
      <c r="AM121" s="415"/>
      <c r="AO121" s="415"/>
      <c r="AP121" s="415"/>
      <c r="AQ121" s="415"/>
      <c r="AS121" s="415"/>
      <c r="AT121" s="415"/>
    </row>
    <row r="122" spans="1:46">
      <c r="B122" s="228"/>
      <c r="C122" s="228"/>
      <c r="D122" s="228"/>
      <c r="E122" s="58"/>
      <c r="F122" s="58"/>
      <c r="G122" s="58"/>
      <c r="H122" s="58"/>
      <c r="I122" s="58"/>
      <c r="J122" s="58"/>
      <c r="K122" s="228"/>
      <c r="L122" s="58"/>
      <c r="M122" s="58"/>
      <c r="N122" s="58"/>
      <c r="O122" s="58"/>
      <c r="Q122" s="58"/>
      <c r="R122" s="58"/>
      <c r="S122" s="58"/>
      <c r="U122" s="58"/>
      <c r="V122" s="58"/>
      <c r="W122" s="58"/>
      <c r="Y122" s="58"/>
      <c r="Z122" s="58"/>
      <c r="AA122" s="58"/>
      <c r="AC122" s="58"/>
      <c r="AD122" s="58"/>
      <c r="AE122" s="58"/>
      <c r="AG122" s="58"/>
      <c r="AH122" s="58"/>
      <c r="AI122" s="58"/>
      <c r="AK122" s="58"/>
      <c r="AL122" s="58"/>
      <c r="AM122" s="58"/>
      <c r="AO122" s="58"/>
      <c r="AP122" s="58"/>
      <c r="AQ122" s="58"/>
      <c r="AS122" s="58"/>
      <c r="AT122" s="58"/>
    </row>
    <row r="123" spans="1:46">
      <c r="E123" s="228"/>
      <c r="F123" s="228"/>
      <c r="G123" s="228"/>
      <c r="H123" s="228"/>
      <c r="I123" s="228"/>
      <c r="J123" s="228"/>
      <c r="L123" s="228"/>
      <c r="M123" s="228"/>
      <c r="N123" s="228"/>
      <c r="O123" s="228"/>
      <c r="Q123" s="228"/>
      <c r="R123" s="228"/>
      <c r="S123" s="228"/>
      <c r="U123" s="228"/>
      <c r="V123" s="228"/>
      <c r="W123" s="228"/>
      <c r="Y123" s="228"/>
      <c r="Z123" s="228"/>
      <c r="AA123" s="228"/>
      <c r="AC123" s="228"/>
      <c r="AD123" s="228"/>
      <c r="AE123" s="228"/>
      <c r="AG123" s="228"/>
      <c r="AH123" s="228"/>
      <c r="AI123" s="228"/>
      <c r="AK123" s="228"/>
      <c r="AL123" s="228"/>
      <c r="AM123" s="228"/>
      <c r="AO123" s="228"/>
      <c r="AP123" s="228"/>
      <c r="AQ123" s="228"/>
      <c r="AS123" s="228"/>
      <c r="AT123" s="228"/>
    </row>
    <row r="124" spans="1:46">
      <c r="D124" s="228"/>
      <c r="E124" s="228"/>
      <c r="F124" s="228"/>
      <c r="G124" s="228"/>
      <c r="H124" s="228"/>
      <c r="I124" s="228"/>
      <c r="J124" s="228"/>
      <c r="L124" s="228"/>
      <c r="M124" s="228"/>
      <c r="N124" s="228"/>
      <c r="O124" s="228"/>
      <c r="Q124" s="228"/>
      <c r="R124" s="228"/>
      <c r="S124" s="228"/>
      <c r="U124" s="228"/>
      <c r="V124" s="228"/>
      <c r="W124" s="228"/>
      <c r="Y124" s="228"/>
      <c r="Z124" s="228"/>
      <c r="AA124" s="228"/>
      <c r="AC124" s="228"/>
      <c r="AD124" s="228"/>
      <c r="AE124" s="228"/>
      <c r="AG124" s="228"/>
      <c r="AH124" s="228"/>
      <c r="AI124" s="228"/>
      <c r="AK124" s="228"/>
      <c r="AL124" s="228"/>
      <c r="AM124" s="228"/>
      <c r="AO124" s="228"/>
      <c r="AP124" s="228"/>
      <c r="AQ124" s="228"/>
      <c r="AS124" s="228"/>
      <c r="AT124" s="228"/>
    </row>
    <row r="125" spans="1:46">
      <c r="D125" s="399"/>
      <c r="E125" s="399"/>
      <c r="F125" s="399"/>
      <c r="G125" s="399"/>
      <c r="H125" s="399"/>
      <c r="I125" s="399"/>
      <c r="J125" s="399"/>
      <c r="L125" s="399"/>
      <c r="M125" s="399"/>
      <c r="N125" s="399"/>
      <c r="O125" s="399"/>
      <c r="Q125" s="399"/>
      <c r="R125" s="399"/>
      <c r="S125" s="399"/>
      <c r="U125" s="399"/>
      <c r="V125" s="399"/>
      <c r="W125" s="399"/>
      <c r="Y125" s="399"/>
      <c r="Z125" s="399"/>
      <c r="AA125" s="399"/>
      <c r="AC125" s="399"/>
      <c r="AD125" s="399"/>
      <c r="AE125" s="399"/>
      <c r="AG125" s="399"/>
      <c r="AH125" s="399"/>
      <c r="AI125" s="399"/>
      <c r="AK125" s="399"/>
      <c r="AL125" s="399"/>
      <c r="AM125" s="399"/>
      <c r="AO125" s="399"/>
      <c r="AP125" s="399"/>
      <c r="AQ125" s="399"/>
      <c r="AS125" s="399"/>
      <c r="AT125" s="399"/>
    </row>
    <row r="126" spans="1:46">
      <c r="D126" s="399"/>
      <c r="E126" s="399"/>
      <c r="F126" s="399"/>
      <c r="G126" s="399"/>
      <c r="H126" s="399"/>
      <c r="I126" s="399"/>
      <c r="J126" s="399"/>
      <c r="L126" s="399"/>
      <c r="M126" s="399"/>
      <c r="N126" s="399"/>
      <c r="O126" s="399"/>
      <c r="Q126" s="399"/>
      <c r="R126" s="399"/>
      <c r="S126" s="399"/>
      <c r="U126" s="399"/>
      <c r="V126" s="399"/>
      <c r="W126" s="399"/>
      <c r="Y126" s="399"/>
      <c r="Z126" s="399"/>
      <c r="AA126" s="399"/>
      <c r="AC126" s="399"/>
      <c r="AD126" s="399"/>
      <c r="AE126" s="399"/>
      <c r="AG126" s="399"/>
      <c r="AH126" s="399"/>
      <c r="AI126" s="399"/>
      <c r="AK126" s="399"/>
      <c r="AL126" s="399"/>
      <c r="AM126" s="399"/>
      <c r="AO126" s="399"/>
      <c r="AP126" s="399"/>
      <c r="AQ126" s="399"/>
      <c r="AS126" s="399"/>
      <c r="AT126" s="399"/>
    </row>
  </sheetData>
  <phoneticPr fontId="82" type="noConversion"/>
  <hyperlinks>
    <hyperlink ref="A2" location="'START PAGE'!A1" display="Back to start page" xr:uid="{079356C4-0BBF-4706-A6A3-6CAABA4CC78C}"/>
  </hyperlinks>
  <pageMargins left="0.7" right="0.7" top="0.75" bottom="0.75" header="0.3" footer="0.3"/>
  <pageSetup paperSize="9" scale="48" orientation="landscape" r:id="rId1"/>
  <customProperties>
    <customPr name="EpmWorksheetKeyString_GUID" r:id="rId2"/>
  </customProperties>
  <ignoredErrors>
    <ignoredError sqref="H4:H9 H18:H24 H54 H45:H50 H27 M95:AL96 B94:I96 AM94:AM96 AN94 AN95:AN96 M94:AJ94 AL94 AO95:AO97 H51" formulaRange="1"/>
  </ignoredError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D00"/>
    <pageSetUpPr fitToPage="1"/>
  </sheetPr>
  <dimension ref="A1:AX169"/>
  <sheetViews>
    <sheetView showGridLines="0" zoomScale="90" zoomScaleNormal="90" zoomScaleSheetLayoutView="100" workbookViewId="0">
      <pane xSplit="1" ySplit="3" topLeftCell="B4" activePane="bottomRight" state="frozen"/>
      <selection activeCell="C75" sqref="C75"/>
      <selection pane="topRight" activeCell="C75" sqref="C75"/>
      <selection pane="bottomLeft" activeCell="C75" sqref="C75"/>
      <selection pane="bottomRight" activeCell="B4" sqref="B4"/>
    </sheetView>
  </sheetViews>
  <sheetFormatPr defaultColWidth="9" defaultRowHeight="10"/>
  <cols>
    <col min="1" max="1" width="58.83203125" style="41" customWidth="1"/>
    <col min="2" max="5" width="7.58203125" style="41" bestFit="1" customWidth="1"/>
    <col min="6" max="7" width="9.58203125" style="41" bestFit="1" customWidth="1"/>
    <col min="8" max="8" width="10" style="41" bestFit="1" customWidth="1"/>
    <col min="9" max="9" width="10.33203125" style="41" customWidth="1"/>
    <col min="10" max="10" width="9.58203125" style="41" bestFit="1" customWidth="1"/>
    <col min="11" max="11" width="12" style="41" customWidth="1"/>
    <col min="12" max="12" width="10" style="41" bestFit="1" customWidth="1"/>
    <col min="13" max="13" width="5.08203125" style="41" customWidth="1"/>
    <col min="14" max="16" width="5.5" style="41" customWidth="1"/>
    <col min="17" max="18" width="6.08203125" style="41" customWidth="1"/>
    <col min="19" max="19" width="5.5" style="41" customWidth="1"/>
    <col min="20" max="22" width="6.08203125" style="41" customWidth="1"/>
    <col min="23" max="23" width="6" style="41" customWidth="1"/>
    <col min="24" max="24" width="6.08203125" style="41" customWidth="1"/>
    <col min="25" max="28" width="5.5" style="41" customWidth="1"/>
    <col min="29" max="29" width="6.08203125" style="41" customWidth="1"/>
    <col min="30" max="30" width="6" style="41" customWidth="1"/>
    <col min="31" max="31" width="6.08203125" style="41" customWidth="1"/>
    <col min="32" max="32" width="5.5" style="41" customWidth="1"/>
    <col min="33" max="33" width="6.08203125" style="41" customWidth="1"/>
    <col min="34" max="35" width="6" style="41" customWidth="1"/>
    <col min="36" max="36" width="5.5" style="41" bestFit="1" customWidth="1"/>
    <col min="37" max="46" width="6.08203125" style="41" customWidth="1"/>
    <col min="47" max="47" width="9" style="41"/>
    <col min="48" max="48" width="3.58203125" style="41" customWidth="1"/>
    <col min="49" max="16384" width="9" style="41"/>
  </cols>
  <sheetData>
    <row r="1" spans="1:48" s="42" customFormat="1" ht="16" thickBot="1">
      <c r="A1" s="59" t="s">
        <v>94</v>
      </c>
      <c r="B1" s="69" t="s">
        <v>222</v>
      </c>
      <c r="C1" s="50"/>
      <c r="D1" s="50"/>
      <c r="E1" s="50"/>
      <c r="F1" s="50"/>
      <c r="G1" s="50"/>
      <c r="H1" s="50"/>
      <c r="I1" s="50"/>
      <c r="J1" s="50"/>
      <c r="K1" s="50"/>
      <c r="M1" s="69" t="s">
        <v>221</v>
      </c>
      <c r="N1" s="50"/>
      <c r="O1" s="50"/>
      <c r="P1" s="70"/>
      <c r="Q1" s="50"/>
      <c r="R1" s="50"/>
      <c r="S1" s="50"/>
      <c r="T1" s="70"/>
      <c r="U1" s="50"/>
      <c r="V1" s="50"/>
      <c r="W1" s="50"/>
      <c r="X1" s="70"/>
      <c r="Y1" s="50"/>
      <c r="Z1" s="50"/>
      <c r="AA1" s="50"/>
      <c r="AB1" s="70"/>
      <c r="AC1" s="50"/>
      <c r="AD1" s="50"/>
      <c r="AE1" s="50"/>
      <c r="AF1" s="70"/>
      <c r="AG1" s="50"/>
      <c r="AH1" s="50"/>
      <c r="AI1" s="50"/>
      <c r="AJ1" s="70"/>
      <c r="AK1" s="50"/>
      <c r="AL1" s="50"/>
      <c r="AM1" s="50"/>
      <c r="AN1" s="70"/>
      <c r="AO1" s="50"/>
      <c r="AP1" s="50"/>
      <c r="AQ1" s="50"/>
      <c r="AR1" s="70"/>
      <c r="AS1" s="50"/>
      <c r="AT1" s="50"/>
    </row>
    <row r="2" spans="1:48" ht="11" thickTop="1" thickBot="1">
      <c r="A2" s="823" t="s">
        <v>198</v>
      </c>
      <c r="I2" s="581" t="s">
        <v>728</v>
      </c>
      <c r="P2" s="133"/>
      <c r="T2" s="133"/>
      <c r="X2" s="133"/>
      <c r="AB2" s="133"/>
      <c r="AF2" s="133"/>
      <c r="AG2" s="581" t="s">
        <v>728</v>
      </c>
      <c r="AJ2" s="133"/>
      <c r="AN2" s="133"/>
      <c r="AR2" s="133"/>
    </row>
    <row r="3" spans="1:48" ht="12" thickTop="1">
      <c r="A3" s="300" t="s">
        <v>92</v>
      </c>
      <c r="B3" s="301">
        <v>2015</v>
      </c>
      <c r="C3" s="301">
        <v>2016</v>
      </c>
      <c r="D3" s="60">
        <v>2017</v>
      </c>
      <c r="E3" s="60">
        <v>2018</v>
      </c>
      <c r="F3" s="60">
        <v>2019</v>
      </c>
      <c r="G3" s="60">
        <v>2020</v>
      </c>
      <c r="H3" s="60">
        <v>2021</v>
      </c>
      <c r="I3" s="60">
        <v>2022</v>
      </c>
      <c r="J3" s="60">
        <v>2023</v>
      </c>
      <c r="K3" s="60">
        <v>2024</v>
      </c>
      <c r="M3" s="245" t="s">
        <v>769</v>
      </c>
      <c r="N3" s="245" t="s">
        <v>770</v>
      </c>
      <c r="O3" s="245" t="s">
        <v>771</v>
      </c>
      <c r="P3" s="246" t="s">
        <v>772</v>
      </c>
      <c r="Q3" s="245" t="s">
        <v>764</v>
      </c>
      <c r="R3" s="245" t="s">
        <v>765</v>
      </c>
      <c r="S3" s="245" t="s">
        <v>766</v>
      </c>
      <c r="T3" s="246" t="s">
        <v>767</v>
      </c>
      <c r="U3" s="245" t="s">
        <v>768</v>
      </c>
      <c r="V3" s="245" t="s">
        <v>730</v>
      </c>
      <c r="W3" s="245" t="s">
        <v>731</v>
      </c>
      <c r="X3" s="246" t="s">
        <v>732</v>
      </c>
      <c r="Y3" s="245" t="s">
        <v>733</v>
      </c>
      <c r="Z3" s="245" t="s">
        <v>626</v>
      </c>
      <c r="AA3" s="245" t="s">
        <v>620</v>
      </c>
      <c r="AB3" s="246" t="s">
        <v>619</v>
      </c>
      <c r="AC3" s="245" t="s">
        <v>614</v>
      </c>
      <c r="AD3" s="245" t="s">
        <v>604</v>
      </c>
      <c r="AE3" s="245" t="s">
        <v>589</v>
      </c>
      <c r="AF3" s="246" t="s">
        <v>587</v>
      </c>
      <c r="AG3" s="245" t="s">
        <v>504</v>
      </c>
      <c r="AH3" s="245" t="s">
        <v>551</v>
      </c>
      <c r="AI3" s="245" t="s">
        <v>532</v>
      </c>
      <c r="AJ3" s="246" t="s">
        <v>530</v>
      </c>
      <c r="AK3" s="245" t="s">
        <v>803</v>
      </c>
      <c r="AL3" s="245" t="s">
        <v>812</v>
      </c>
      <c r="AM3" s="245" t="s">
        <v>816</v>
      </c>
      <c r="AN3" s="246" t="s">
        <v>835</v>
      </c>
      <c r="AO3" s="245" t="s">
        <v>872</v>
      </c>
      <c r="AP3" s="245" t="s">
        <v>986</v>
      </c>
      <c r="AQ3" s="245" t="s">
        <v>1016</v>
      </c>
      <c r="AR3" s="246" t="s">
        <v>1039</v>
      </c>
      <c r="AS3" s="245" t="s">
        <v>1076</v>
      </c>
      <c r="AT3" s="245" t="s">
        <v>1285</v>
      </c>
    </row>
    <row r="4" spans="1:48" ht="10.5">
      <c r="A4" s="41" t="s">
        <v>361</v>
      </c>
      <c r="B4" s="60"/>
      <c r="C4" s="60"/>
      <c r="D4" s="60"/>
      <c r="E4" s="60"/>
      <c r="F4" s="60"/>
      <c r="G4" s="60"/>
      <c r="H4" s="60"/>
      <c r="I4" s="60"/>
      <c r="J4" s="60"/>
      <c r="K4" s="60"/>
      <c r="M4" s="60"/>
      <c r="N4" s="60"/>
      <c r="O4" s="60"/>
      <c r="P4" s="81"/>
      <c r="Q4" s="60"/>
      <c r="R4" s="60"/>
      <c r="S4" s="60"/>
      <c r="T4" s="81"/>
      <c r="U4" s="60"/>
      <c r="V4" s="60"/>
      <c r="W4" s="60"/>
      <c r="X4" s="81"/>
      <c r="Y4" s="60"/>
      <c r="Z4" s="60"/>
      <c r="AA4" s="60"/>
      <c r="AB4" s="81"/>
      <c r="AC4" s="60"/>
      <c r="AD4" s="60"/>
      <c r="AE4" s="60"/>
      <c r="AF4" s="81"/>
      <c r="AG4" s="60"/>
      <c r="AH4" s="60"/>
      <c r="AI4" s="60"/>
      <c r="AJ4" s="81"/>
      <c r="AK4" s="763" t="s">
        <v>981</v>
      </c>
      <c r="AL4" s="60"/>
      <c r="AM4" s="60"/>
      <c r="AN4" s="81"/>
      <c r="AO4" s="60"/>
      <c r="AP4" s="60"/>
      <c r="AQ4" s="60"/>
      <c r="AR4" s="81"/>
      <c r="AS4" s="60"/>
      <c r="AT4" s="60"/>
    </row>
    <row r="5" spans="1:48" ht="11.5">
      <c r="A5" s="304" t="s">
        <v>62</v>
      </c>
      <c r="B5" s="313">
        <v>27551</v>
      </c>
      <c r="C5" s="313">
        <v>27634</v>
      </c>
      <c r="D5" s="313">
        <v>33831</v>
      </c>
      <c r="E5" s="313">
        <v>39400</v>
      </c>
      <c r="F5" s="313">
        <v>39492</v>
      </c>
      <c r="G5" s="313">
        <v>36579</v>
      </c>
      <c r="H5" s="313">
        <v>45648</v>
      </c>
      <c r="I5" s="313">
        <v>53222</v>
      </c>
      <c r="J5" s="313">
        <v>59332</v>
      </c>
      <c r="K5" s="313">
        <v>62213</v>
      </c>
      <c r="L5" s="612"/>
      <c r="M5" s="313">
        <v>8520</v>
      </c>
      <c r="N5" s="313">
        <v>8662</v>
      </c>
      <c r="O5" s="313">
        <v>8591</v>
      </c>
      <c r="P5" s="314">
        <v>8058</v>
      </c>
      <c r="Q5" s="313">
        <v>10036</v>
      </c>
      <c r="R5" s="313">
        <v>10483</v>
      </c>
      <c r="S5" s="313">
        <v>9413</v>
      </c>
      <c r="T5" s="314">
        <v>9468</v>
      </c>
      <c r="U5" s="313">
        <v>10063</v>
      </c>
      <c r="V5" s="313">
        <v>10553</v>
      </c>
      <c r="W5" s="313">
        <v>9600</v>
      </c>
      <c r="X5" s="314">
        <v>9276</v>
      </c>
      <c r="Y5" s="313">
        <v>9772</v>
      </c>
      <c r="Z5" s="313">
        <v>8105</v>
      </c>
      <c r="AA5" s="313">
        <v>9373</v>
      </c>
      <c r="AB5" s="314">
        <v>9329</v>
      </c>
      <c r="AC5" s="313">
        <v>10690</v>
      </c>
      <c r="AD5" s="313">
        <v>11070</v>
      </c>
      <c r="AE5" s="313">
        <v>12245</v>
      </c>
      <c r="AF5" s="314">
        <v>11643</v>
      </c>
      <c r="AG5" s="313">
        <v>13818</v>
      </c>
      <c r="AH5" s="313">
        <v>13377</v>
      </c>
      <c r="AI5" s="313">
        <v>12322</v>
      </c>
      <c r="AJ5" s="314">
        <v>13705</v>
      </c>
      <c r="AK5" s="313">
        <v>15148</v>
      </c>
      <c r="AL5" s="313">
        <v>15436</v>
      </c>
      <c r="AM5" s="313">
        <v>14360</v>
      </c>
      <c r="AN5" s="314">
        <v>14388</v>
      </c>
      <c r="AO5" s="313">
        <v>14162</v>
      </c>
      <c r="AP5" s="313">
        <v>16349</v>
      </c>
      <c r="AQ5" s="313">
        <v>15520</v>
      </c>
      <c r="AR5" s="314">
        <v>16182</v>
      </c>
      <c r="AS5" s="313">
        <v>16586</v>
      </c>
      <c r="AT5" s="313">
        <v>15276</v>
      </c>
      <c r="AU5" s="305"/>
      <c r="AV5" s="305"/>
    </row>
    <row r="6" spans="1:48">
      <c r="A6" s="41" t="s">
        <v>63</v>
      </c>
      <c r="B6" s="305">
        <v>6501</v>
      </c>
      <c r="C6" s="305">
        <v>6375</v>
      </c>
      <c r="D6" s="305">
        <v>7613</v>
      </c>
      <c r="E6" s="305">
        <v>8812</v>
      </c>
      <c r="F6" s="305">
        <v>8744</v>
      </c>
      <c r="G6" s="305">
        <v>7693</v>
      </c>
      <c r="H6" s="305">
        <v>10585</v>
      </c>
      <c r="I6" s="305">
        <v>13696</v>
      </c>
      <c r="J6" s="305">
        <v>14760</v>
      </c>
      <c r="K6" s="305">
        <v>16970</v>
      </c>
      <c r="L6" s="305"/>
      <c r="M6" s="305">
        <v>1967</v>
      </c>
      <c r="N6" s="305">
        <v>2092</v>
      </c>
      <c r="O6" s="305">
        <v>1897</v>
      </c>
      <c r="P6" s="209">
        <v>1657</v>
      </c>
      <c r="Q6" s="305">
        <v>2176</v>
      </c>
      <c r="R6" s="305">
        <v>2076</v>
      </c>
      <c r="S6" s="305">
        <v>2180</v>
      </c>
      <c r="T6" s="209">
        <v>2379</v>
      </c>
      <c r="U6" s="305">
        <v>2160</v>
      </c>
      <c r="V6" s="305">
        <v>2262</v>
      </c>
      <c r="W6" s="305">
        <v>2360</v>
      </c>
      <c r="X6" s="209">
        <v>1962</v>
      </c>
      <c r="Y6" s="305">
        <v>2168</v>
      </c>
      <c r="Z6" s="305">
        <v>1654</v>
      </c>
      <c r="AA6" s="305">
        <v>2002</v>
      </c>
      <c r="AB6" s="209">
        <v>1869</v>
      </c>
      <c r="AC6" s="305">
        <v>2226</v>
      </c>
      <c r="AD6" s="305">
        <v>2542</v>
      </c>
      <c r="AE6" s="305">
        <v>2974</v>
      </c>
      <c r="AF6" s="209">
        <v>2843</v>
      </c>
      <c r="AG6" s="305">
        <v>3358</v>
      </c>
      <c r="AH6" s="305">
        <v>3753</v>
      </c>
      <c r="AI6" s="305">
        <v>3438</v>
      </c>
      <c r="AJ6" s="209">
        <v>3147</v>
      </c>
      <c r="AK6" s="305">
        <v>3608</v>
      </c>
      <c r="AL6" s="305">
        <v>3651</v>
      </c>
      <c r="AM6" s="305">
        <v>3825</v>
      </c>
      <c r="AN6" s="209">
        <v>3676</v>
      </c>
      <c r="AO6" s="305">
        <v>3611</v>
      </c>
      <c r="AP6" s="305">
        <v>4734</v>
      </c>
      <c r="AQ6" s="305">
        <v>4087</v>
      </c>
      <c r="AR6" s="209">
        <v>4538</v>
      </c>
      <c r="AS6" s="305">
        <v>5180</v>
      </c>
      <c r="AT6" s="305">
        <v>4432</v>
      </c>
      <c r="AU6" s="305"/>
      <c r="AV6" s="305"/>
    </row>
    <row r="7" spans="1:48">
      <c r="A7" s="41" t="s">
        <v>64</v>
      </c>
      <c r="B7" s="305">
        <v>3719</v>
      </c>
      <c r="C7" s="305">
        <v>3769</v>
      </c>
      <c r="D7" s="305">
        <v>4723</v>
      </c>
      <c r="E7" s="305">
        <v>6225</v>
      </c>
      <c r="F7" s="305">
        <v>5396</v>
      </c>
      <c r="G7" s="305">
        <v>4880</v>
      </c>
      <c r="H7" s="305">
        <v>5575</v>
      </c>
      <c r="I7" s="305">
        <v>7532</v>
      </c>
      <c r="J7" s="305">
        <v>8433</v>
      </c>
      <c r="K7" s="305">
        <v>7826</v>
      </c>
      <c r="L7" s="305"/>
      <c r="M7" s="305">
        <v>1167</v>
      </c>
      <c r="N7" s="305">
        <v>1189</v>
      </c>
      <c r="O7" s="305">
        <v>1105</v>
      </c>
      <c r="P7" s="209">
        <v>1262</v>
      </c>
      <c r="Q7" s="305">
        <v>1488</v>
      </c>
      <c r="R7" s="305">
        <v>1844</v>
      </c>
      <c r="S7" s="305">
        <v>1236</v>
      </c>
      <c r="T7" s="209">
        <v>1657</v>
      </c>
      <c r="U7" s="305">
        <v>1344</v>
      </c>
      <c r="V7" s="305">
        <v>1481</v>
      </c>
      <c r="W7" s="305">
        <v>1451</v>
      </c>
      <c r="X7" s="209">
        <v>1120</v>
      </c>
      <c r="Y7" s="305">
        <v>1284</v>
      </c>
      <c r="Z7" s="305">
        <v>1175</v>
      </c>
      <c r="AA7" s="305">
        <v>1157</v>
      </c>
      <c r="AB7" s="209">
        <v>1264</v>
      </c>
      <c r="AC7" s="305">
        <v>1177</v>
      </c>
      <c r="AD7" s="305">
        <v>1420</v>
      </c>
      <c r="AE7" s="305">
        <v>1480</v>
      </c>
      <c r="AF7" s="209">
        <v>1498</v>
      </c>
      <c r="AG7" s="305">
        <v>1687</v>
      </c>
      <c r="AH7" s="305">
        <v>1892</v>
      </c>
      <c r="AI7" s="305">
        <v>1851</v>
      </c>
      <c r="AJ7" s="209">
        <v>2102</v>
      </c>
      <c r="AK7" s="305">
        <v>1803</v>
      </c>
      <c r="AL7" s="305">
        <v>2257</v>
      </c>
      <c r="AM7" s="305">
        <v>1937</v>
      </c>
      <c r="AN7" s="209">
        <v>2436</v>
      </c>
      <c r="AO7" s="305">
        <v>2023</v>
      </c>
      <c r="AP7" s="305">
        <v>1690</v>
      </c>
      <c r="AQ7" s="305">
        <v>2147</v>
      </c>
      <c r="AR7" s="209">
        <v>1966</v>
      </c>
      <c r="AS7" s="305">
        <v>2020</v>
      </c>
      <c r="AT7" s="305">
        <v>2042</v>
      </c>
      <c r="AU7" s="305"/>
      <c r="AV7" s="305"/>
    </row>
    <row r="8" spans="1:48">
      <c r="A8" s="41" t="s">
        <v>67</v>
      </c>
      <c r="B8" s="305">
        <v>6743</v>
      </c>
      <c r="C8" s="305">
        <v>6850</v>
      </c>
      <c r="D8" s="305">
        <v>8404</v>
      </c>
      <c r="E8" s="305">
        <v>9349</v>
      </c>
      <c r="F8" s="305">
        <v>9057</v>
      </c>
      <c r="G8" s="305">
        <v>8574</v>
      </c>
      <c r="H8" s="305">
        <v>10573</v>
      </c>
      <c r="I8" s="305">
        <v>7459</v>
      </c>
      <c r="J8" s="305">
        <v>7774</v>
      </c>
      <c r="K8" s="305">
        <v>8268</v>
      </c>
      <c r="L8" s="305"/>
      <c r="M8" s="305">
        <v>2246</v>
      </c>
      <c r="N8" s="305">
        <v>2190</v>
      </c>
      <c r="O8" s="305">
        <v>1937</v>
      </c>
      <c r="P8" s="209">
        <v>2031</v>
      </c>
      <c r="Q8" s="305">
        <v>2488</v>
      </c>
      <c r="R8" s="305">
        <v>2503</v>
      </c>
      <c r="S8" s="305">
        <v>2388</v>
      </c>
      <c r="T8" s="209">
        <v>1969</v>
      </c>
      <c r="U8" s="305">
        <v>2430</v>
      </c>
      <c r="V8" s="305">
        <v>2399</v>
      </c>
      <c r="W8" s="305">
        <v>2063</v>
      </c>
      <c r="X8" s="209">
        <v>2165</v>
      </c>
      <c r="Y8" s="305">
        <v>2381</v>
      </c>
      <c r="Z8" s="305">
        <v>1891</v>
      </c>
      <c r="AA8" s="305">
        <v>2092</v>
      </c>
      <c r="AB8" s="209">
        <v>2210</v>
      </c>
      <c r="AC8" s="305">
        <v>2623</v>
      </c>
      <c r="AD8" s="305">
        <v>2612</v>
      </c>
      <c r="AE8" s="305">
        <v>2577</v>
      </c>
      <c r="AF8" s="209">
        <v>2761</v>
      </c>
      <c r="AG8" s="305">
        <v>3100</v>
      </c>
      <c r="AH8" s="305">
        <v>1742</v>
      </c>
      <c r="AI8" s="305">
        <v>601</v>
      </c>
      <c r="AJ8" s="209">
        <v>2016</v>
      </c>
      <c r="AK8" s="305">
        <v>2304</v>
      </c>
      <c r="AL8" s="305">
        <v>2120</v>
      </c>
      <c r="AM8" s="305">
        <v>1589</v>
      </c>
      <c r="AN8" s="209">
        <v>1761</v>
      </c>
      <c r="AO8" s="305">
        <v>2191</v>
      </c>
      <c r="AP8" s="305">
        <v>2327</v>
      </c>
      <c r="AQ8" s="305">
        <v>1836</v>
      </c>
      <c r="AR8" s="209">
        <v>1914</v>
      </c>
      <c r="AS8" s="305">
        <v>2460</v>
      </c>
      <c r="AT8" s="305">
        <v>2108</v>
      </c>
      <c r="AU8" s="305"/>
      <c r="AV8" s="305"/>
    </row>
    <row r="9" spans="1:48">
      <c r="A9" s="41" t="s">
        <v>65</v>
      </c>
      <c r="B9" s="305">
        <v>4374</v>
      </c>
      <c r="C9" s="305">
        <v>3857</v>
      </c>
      <c r="D9" s="305">
        <v>4582</v>
      </c>
      <c r="E9" s="305">
        <v>5446</v>
      </c>
      <c r="F9" s="305">
        <v>5468</v>
      </c>
      <c r="G9" s="305">
        <v>5058</v>
      </c>
      <c r="H9" s="305">
        <v>6470</v>
      </c>
      <c r="I9" s="305">
        <v>8299</v>
      </c>
      <c r="J9" s="305">
        <v>10385</v>
      </c>
      <c r="K9" s="305">
        <v>10262</v>
      </c>
      <c r="L9" s="305"/>
      <c r="M9" s="305">
        <v>1033</v>
      </c>
      <c r="N9" s="305">
        <v>990</v>
      </c>
      <c r="O9" s="305">
        <v>1339</v>
      </c>
      <c r="P9" s="209">
        <v>1220</v>
      </c>
      <c r="Q9" s="305">
        <v>1478</v>
      </c>
      <c r="R9" s="305">
        <v>1518</v>
      </c>
      <c r="S9" s="305">
        <v>1191</v>
      </c>
      <c r="T9" s="209">
        <v>1260</v>
      </c>
      <c r="U9" s="305">
        <v>1311</v>
      </c>
      <c r="V9" s="305">
        <v>1409</v>
      </c>
      <c r="W9" s="305">
        <v>1274</v>
      </c>
      <c r="X9" s="209">
        <v>1474</v>
      </c>
      <c r="Y9" s="305">
        <v>1409</v>
      </c>
      <c r="Z9" s="305">
        <v>943</v>
      </c>
      <c r="AA9" s="305">
        <v>1411</v>
      </c>
      <c r="AB9" s="209">
        <v>1295</v>
      </c>
      <c r="AC9" s="305">
        <v>1629</v>
      </c>
      <c r="AD9" s="305">
        <v>1495</v>
      </c>
      <c r="AE9" s="305">
        <v>1793</v>
      </c>
      <c r="AF9" s="209">
        <v>1553</v>
      </c>
      <c r="AG9" s="305">
        <v>2125</v>
      </c>
      <c r="AH9" s="305">
        <v>1962</v>
      </c>
      <c r="AI9" s="305">
        <v>2312</v>
      </c>
      <c r="AJ9" s="209">
        <v>1900</v>
      </c>
      <c r="AK9" s="305">
        <v>2561</v>
      </c>
      <c r="AL9" s="305">
        <v>2885</v>
      </c>
      <c r="AM9" s="305">
        <v>2919</v>
      </c>
      <c r="AN9" s="209">
        <v>2020</v>
      </c>
      <c r="AO9" s="305">
        <v>2094</v>
      </c>
      <c r="AP9" s="305">
        <v>2635</v>
      </c>
      <c r="AQ9" s="305">
        <v>2597</v>
      </c>
      <c r="AR9" s="209">
        <v>2936</v>
      </c>
      <c r="AS9" s="305">
        <v>2345</v>
      </c>
      <c r="AT9" s="305">
        <v>2430</v>
      </c>
      <c r="AU9" s="305"/>
      <c r="AV9" s="305"/>
    </row>
    <row r="10" spans="1:48">
      <c r="A10" s="41" t="s">
        <v>85</v>
      </c>
      <c r="B10" s="305">
        <v>6214</v>
      </c>
      <c r="C10" s="305">
        <v>6783</v>
      </c>
      <c r="D10" s="305">
        <v>8509</v>
      </c>
      <c r="E10" s="305">
        <v>9568</v>
      </c>
      <c r="F10" s="305">
        <v>10827</v>
      </c>
      <c r="G10" s="305">
        <v>10374</v>
      </c>
      <c r="H10" s="305">
        <v>12445</v>
      </c>
      <c r="I10" s="305">
        <v>16236</v>
      </c>
      <c r="J10" s="305">
        <v>17980</v>
      </c>
      <c r="K10" s="305">
        <v>18887</v>
      </c>
      <c r="L10" s="305"/>
      <c r="M10" s="305">
        <v>2107</v>
      </c>
      <c r="N10" s="305">
        <v>2201</v>
      </c>
      <c r="O10" s="305">
        <v>2313</v>
      </c>
      <c r="P10" s="209">
        <v>1888</v>
      </c>
      <c r="Q10" s="305">
        <v>2406</v>
      </c>
      <c r="R10" s="305">
        <v>2542</v>
      </c>
      <c r="S10" s="305">
        <v>2418</v>
      </c>
      <c r="T10" s="209">
        <v>2203</v>
      </c>
      <c r="U10" s="305">
        <v>2818</v>
      </c>
      <c r="V10" s="305">
        <v>3002</v>
      </c>
      <c r="W10" s="305">
        <v>2452</v>
      </c>
      <c r="X10" s="209">
        <v>2555</v>
      </c>
      <c r="Y10" s="305">
        <v>2530</v>
      </c>
      <c r="Z10" s="305">
        <v>2442</v>
      </c>
      <c r="AA10" s="305">
        <v>2711</v>
      </c>
      <c r="AB10" s="209">
        <v>2691</v>
      </c>
      <c r="AC10" s="305">
        <v>3035</v>
      </c>
      <c r="AD10" s="305">
        <v>3001</v>
      </c>
      <c r="AE10" s="305">
        <v>3421</v>
      </c>
      <c r="AF10" s="209">
        <v>2988</v>
      </c>
      <c r="AG10" s="305">
        <v>3548</v>
      </c>
      <c r="AH10" s="305">
        <v>4028</v>
      </c>
      <c r="AI10" s="305">
        <v>4120</v>
      </c>
      <c r="AJ10" s="209">
        <v>4540</v>
      </c>
      <c r="AK10" s="305">
        <v>4872</v>
      </c>
      <c r="AL10" s="305">
        <v>4523</v>
      </c>
      <c r="AM10" s="305">
        <v>4090</v>
      </c>
      <c r="AN10" s="209">
        <v>4495</v>
      </c>
      <c r="AO10" s="305">
        <v>4243</v>
      </c>
      <c r="AP10" s="305">
        <v>4963</v>
      </c>
      <c r="AQ10" s="305">
        <v>4853</v>
      </c>
      <c r="AR10" s="209">
        <v>4828</v>
      </c>
      <c r="AS10" s="305">
        <v>4581</v>
      </c>
      <c r="AT10" s="305">
        <v>4264</v>
      </c>
      <c r="AU10" s="305"/>
      <c r="AV10" s="305"/>
    </row>
    <row r="11" spans="1:48">
      <c r="D11" s="305"/>
      <c r="E11" s="305"/>
      <c r="F11" s="305"/>
      <c r="G11" s="305"/>
      <c r="H11" s="305" t="s">
        <v>257</v>
      </c>
      <c r="I11" s="305"/>
      <c r="J11" s="305"/>
      <c r="K11" s="305"/>
      <c r="L11" s="305"/>
      <c r="P11" s="209"/>
      <c r="Q11" s="305"/>
      <c r="R11" s="305"/>
      <c r="S11" s="305"/>
      <c r="T11" s="209"/>
      <c r="U11" s="305"/>
      <c r="V11" s="305"/>
      <c r="W11" s="305"/>
      <c r="X11" s="209"/>
      <c r="Y11" s="305"/>
      <c r="Z11" s="305"/>
      <c r="AA11" s="305"/>
      <c r="AB11" s="209"/>
      <c r="AC11" s="305"/>
      <c r="AD11" s="305" t="s">
        <v>257</v>
      </c>
      <c r="AE11" s="305" t="s">
        <v>257</v>
      </c>
      <c r="AF11" s="209"/>
      <c r="AG11" s="305"/>
      <c r="AH11" s="305"/>
      <c r="AI11" s="305"/>
      <c r="AJ11" s="209"/>
      <c r="AK11" s="305"/>
      <c r="AL11" s="305"/>
      <c r="AM11" s="305"/>
      <c r="AN11" s="209"/>
      <c r="AO11" s="305"/>
      <c r="AP11" s="305"/>
      <c r="AQ11" s="305"/>
      <c r="AR11" s="209" t="s">
        <v>257</v>
      </c>
      <c r="AS11" s="305"/>
      <c r="AT11" s="305"/>
      <c r="AU11" s="305"/>
      <c r="AV11" s="305"/>
    </row>
    <row r="12" spans="1:48" ht="11.5">
      <c r="A12" s="304" t="s">
        <v>73</v>
      </c>
      <c r="B12" s="313">
        <v>19213</v>
      </c>
      <c r="C12" s="313">
        <v>19412.654724004002</v>
      </c>
      <c r="D12" s="313">
        <v>24574</v>
      </c>
      <c r="E12" s="313">
        <v>29695</v>
      </c>
      <c r="F12" s="313">
        <v>28509</v>
      </c>
      <c r="G12" s="313">
        <v>27252</v>
      </c>
      <c r="H12" s="313">
        <v>34513</v>
      </c>
      <c r="I12" s="577">
        <v>42691</v>
      </c>
      <c r="J12" s="313">
        <v>46708</v>
      </c>
      <c r="K12" s="313">
        <v>47423</v>
      </c>
      <c r="L12" s="612"/>
      <c r="M12" s="313">
        <v>6200</v>
      </c>
      <c r="N12" s="313">
        <v>6323</v>
      </c>
      <c r="O12" s="313">
        <v>6263</v>
      </c>
      <c r="P12" s="314">
        <v>5788</v>
      </c>
      <c r="Q12" s="313">
        <v>7442</v>
      </c>
      <c r="R12" s="313">
        <v>7947</v>
      </c>
      <c r="S12" s="313">
        <v>7190</v>
      </c>
      <c r="T12" s="314">
        <v>7116</v>
      </c>
      <c r="U12" s="313">
        <v>7248</v>
      </c>
      <c r="V12" s="313">
        <v>7677</v>
      </c>
      <c r="W12" s="313">
        <v>6874</v>
      </c>
      <c r="X12" s="314">
        <v>6710</v>
      </c>
      <c r="Y12" s="313">
        <v>7101</v>
      </c>
      <c r="Z12" s="313">
        <v>6129</v>
      </c>
      <c r="AA12" s="313">
        <v>7068</v>
      </c>
      <c r="AB12" s="314">
        <v>6954</v>
      </c>
      <c r="AC12" s="313">
        <v>7991</v>
      </c>
      <c r="AD12" s="313">
        <v>8387</v>
      </c>
      <c r="AE12" s="313">
        <v>9336</v>
      </c>
      <c r="AF12" s="314">
        <v>8799</v>
      </c>
      <c r="AG12" s="577">
        <v>10840</v>
      </c>
      <c r="AH12" s="577">
        <v>10897</v>
      </c>
      <c r="AI12" s="577">
        <v>9791</v>
      </c>
      <c r="AJ12" s="579">
        <v>11163</v>
      </c>
      <c r="AK12" s="313">
        <v>11570</v>
      </c>
      <c r="AL12" s="313">
        <v>12276</v>
      </c>
      <c r="AM12" s="313">
        <v>11311</v>
      </c>
      <c r="AN12" s="314">
        <v>11551</v>
      </c>
      <c r="AO12" s="313">
        <v>11025</v>
      </c>
      <c r="AP12" s="313">
        <v>12388</v>
      </c>
      <c r="AQ12" s="313">
        <v>11830</v>
      </c>
      <c r="AR12" s="314">
        <v>12180</v>
      </c>
      <c r="AS12" s="313">
        <v>12377</v>
      </c>
      <c r="AT12" s="313">
        <v>11506</v>
      </c>
      <c r="AU12" s="305"/>
      <c r="AV12" s="305"/>
    </row>
    <row r="13" spans="1:48">
      <c r="A13" s="41" t="s">
        <v>63</v>
      </c>
      <c r="B13" s="305">
        <v>4119</v>
      </c>
      <c r="C13" s="305">
        <v>3921.3438913069999</v>
      </c>
      <c r="D13" s="305">
        <v>4907</v>
      </c>
      <c r="E13" s="305">
        <v>6093</v>
      </c>
      <c r="F13" s="305">
        <v>5516</v>
      </c>
      <c r="G13" s="305">
        <v>5180</v>
      </c>
      <c r="H13" s="305">
        <v>7594</v>
      </c>
      <c r="I13" s="578">
        <v>10523</v>
      </c>
      <c r="J13" s="305">
        <v>10782</v>
      </c>
      <c r="K13" s="305">
        <v>10862</v>
      </c>
      <c r="L13" s="305"/>
      <c r="M13" s="305">
        <v>1371</v>
      </c>
      <c r="N13" s="305">
        <v>1349</v>
      </c>
      <c r="O13" s="305">
        <v>1179</v>
      </c>
      <c r="P13" s="209">
        <v>1008</v>
      </c>
      <c r="Q13" s="305">
        <v>1426</v>
      </c>
      <c r="R13" s="305">
        <v>1385</v>
      </c>
      <c r="S13" s="305">
        <v>1572</v>
      </c>
      <c r="T13" s="209">
        <v>1709</v>
      </c>
      <c r="U13" s="305">
        <v>1265</v>
      </c>
      <c r="V13" s="305">
        <v>1444</v>
      </c>
      <c r="W13" s="305">
        <v>1529</v>
      </c>
      <c r="X13" s="209">
        <v>1278</v>
      </c>
      <c r="Y13" s="305">
        <v>1427</v>
      </c>
      <c r="Z13" s="305">
        <v>1108</v>
      </c>
      <c r="AA13" s="305">
        <v>1355</v>
      </c>
      <c r="AB13" s="209">
        <v>1290</v>
      </c>
      <c r="AC13" s="305">
        <v>1489</v>
      </c>
      <c r="AD13" s="305">
        <v>1805</v>
      </c>
      <c r="AE13" s="305">
        <v>2199</v>
      </c>
      <c r="AF13" s="209">
        <v>2101</v>
      </c>
      <c r="AG13" s="578">
        <v>2530</v>
      </c>
      <c r="AH13" s="578">
        <v>3014</v>
      </c>
      <c r="AI13" s="578">
        <v>2493</v>
      </c>
      <c r="AJ13" s="580">
        <v>2486</v>
      </c>
      <c r="AK13" s="305">
        <v>2511</v>
      </c>
      <c r="AL13" s="305">
        <v>2735</v>
      </c>
      <c r="AM13" s="305">
        <v>2769</v>
      </c>
      <c r="AN13" s="209">
        <v>2767</v>
      </c>
      <c r="AO13" s="305">
        <v>2608</v>
      </c>
      <c r="AP13" s="305">
        <v>2943</v>
      </c>
      <c r="AQ13" s="305">
        <v>2506</v>
      </c>
      <c r="AR13" s="209">
        <v>2805</v>
      </c>
      <c r="AS13" s="305">
        <v>3317</v>
      </c>
      <c r="AT13" s="305">
        <v>2758</v>
      </c>
      <c r="AU13" s="305"/>
      <c r="AV13" s="305"/>
    </row>
    <row r="14" spans="1:48">
      <c r="A14" s="41" t="s">
        <v>64</v>
      </c>
      <c r="B14" s="305">
        <v>2931</v>
      </c>
      <c r="C14" s="305">
        <v>3051.0403095070001</v>
      </c>
      <c r="D14" s="305">
        <v>3901</v>
      </c>
      <c r="E14" s="305">
        <v>5360</v>
      </c>
      <c r="F14" s="305">
        <v>4321</v>
      </c>
      <c r="G14" s="305">
        <v>4005</v>
      </c>
      <c r="H14" s="305">
        <v>4539</v>
      </c>
      <c r="I14" s="578">
        <v>6540</v>
      </c>
      <c r="J14" s="305">
        <v>7195</v>
      </c>
      <c r="K14" s="305">
        <v>6929</v>
      </c>
      <c r="L14" s="305"/>
      <c r="M14" s="305">
        <v>928</v>
      </c>
      <c r="N14" s="305">
        <v>1015</v>
      </c>
      <c r="O14" s="305">
        <v>896</v>
      </c>
      <c r="P14" s="209">
        <v>1062</v>
      </c>
      <c r="Q14" s="305">
        <v>1255</v>
      </c>
      <c r="R14" s="305">
        <v>1633</v>
      </c>
      <c r="S14" s="305">
        <v>1023</v>
      </c>
      <c r="T14" s="209">
        <v>1449</v>
      </c>
      <c r="U14" s="305">
        <v>1041</v>
      </c>
      <c r="V14" s="305">
        <v>1207</v>
      </c>
      <c r="W14" s="305">
        <v>1189</v>
      </c>
      <c r="X14" s="209">
        <v>884</v>
      </c>
      <c r="Y14" s="305">
        <v>1011</v>
      </c>
      <c r="Z14" s="305">
        <v>982</v>
      </c>
      <c r="AA14" s="305">
        <v>960</v>
      </c>
      <c r="AB14" s="209">
        <v>1052</v>
      </c>
      <c r="AC14" s="305">
        <v>911</v>
      </c>
      <c r="AD14" s="305">
        <v>1165</v>
      </c>
      <c r="AE14" s="305">
        <v>1220</v>
      </c>
      <c r="AF14" s="209">
        <v>1243</v>
      </c>
      <c r="AG14" s="578">
        <v>1418</v>
      </c>
      <c r="AH14" s="578">
        <v>1670</v>
      </c>
      <c r="AI14" s="578">
        <v>1600</v>
      </c>
      <c r="AJ14" s="580">
        <v>1852</v>
      </c>
      <c r="AK14" s="305">
        <v>1427</v>
      </c>
      <c r="AL14" s="305">
        <v>1862</v>
      </c>
      <c r="AM14" s="305">
        <v>1664</v>
      </c>
      <c r="AN14" s="209">
        <v>2242</v>
      </c>
      <c r="AO14" s="305">
        <v>1747</v>
      </c>
      <c r="AP14" s="305">
        <v>1494</v>
      </c>
      <c r="AQ14" s="305">
        <v>1914</v>
      </c>
      <c r="AR14" s="209">
        <v>1774</v>
      </c>
      <c r="AS14" s="305">
        <v>1726</v>
      </c>
      <c r="AT14" s="305">
        <v>1821</v>
      </c>
      <c r="AU14" s="305"/>
      <c r="AV14" s="305"/>
    </row>
    <row r="15" spans="1:48">
      <c r="A15" s="41" t="s">
        <v>67</v>
      </c>
      <c r="B15" s="305">
        <v>4430</v>
      </c>
      <c r="C15" s="305">
        <v>4451.2640814900005</v>
      </c>
      <c r="D15" s="305">
        <v>5664</v>
      </c>
      <c r="E15" s="305">
        <v>6491</v>
      </c>
      <c r="F15" s="305">
        <v>6255</v>
      </c>
      <c r="G15" s="305">
        <v>5871</v>
      </c>
      <c r="H15" s="305">
        <v>7455</v>
      </c>
      <c r="I15" s="578">
        <v>5020</v>
      </c>
      <c r="J15" s="305">
        <v>5519</v>
      </c>
      <c r="K15" s="305">
        <v>5567</v>
      </c>
      <c r="L15" s="305"/>
      <c r="M15" s="305">
        <v>1518</v>
      </c>
      <c r="N15" s="305">
        <v>1498</v>
      </c>
      <c r="O15" s="305">
        <v>1280</v>
      </c>
      <c r="P15" s="209">
        <v>1368</v>
      </c>
      <c r="Q15" s="305">
        <v>1662</v>
      </c>
      <c r="R15" s="305">
        <v>1765</v>
      </c>
      <c r="S15" s="305">
        <v>1790</v>
      </c>
      <c r="T15" s="209">
        <v>1275</v>
      </c>
      <c r="U15" s="305">
        <v>1690</v>
      </c>
      <c r="V15" s="305">
        <v>1655</v>
      </c>
      <c r="W15" s="305">
        <v>1436</v>
      </c>
      <c r="X15" s="209">
        <v>1474</v>
      </c>
      <c r="Y15" s="305">
        <v>1623</v>
      </c>
      <c r="Z15" s="305">
        <v>1320</v>
      </c>
      <c r="AA15" s="305">
        <v>1461</v>
      </c>
      <c r="AB15" s="209">
        <v>1467</v>
      </c>
      <c r="AC15" s="305">
        <v>1824</v>
      </c>
      <c r="AD15" s="305">
        <v>1819</v>
      </c>
      <c r="AE15" s="305">
        <v>1882</v>
      </c>
      <c r="AF15" s="209">
        <v>1930</v>
      </c>
      <c r="AG15" s="578">
        <v>2217</v>
      </c>
      <c r="AH15" s="578">
        <v>1207</v>
      </c>
      <c r="AI15" s="578">
        <v>216</v>
      </c>
      <c r="AJ15" s="580">
        <v>1380</v>
      </c>
      <c r="AK15" s="305">
        <v>1613</v>
      </c>
      <c r="AL15" s="305">
        <v>1599</v>
      </c>
      <c r="AM15" s="305">
        <v>1108</v>
      </c>
      <c r="AN15" s="209">
        <v>1199</v>
      </c>
      <c r="AO15" s="305">
        <v>1525</v>
      </c>
      <c r="AP15" s="305">
        <v>1619</v>
      </c>
      <c r="AQ15" s="305">
        <v>1249</v>
      </c>
      <c r="AR15" s="209">
        <v>1174</v>
      </c>
      <c r="AS15" s="305">
        <v>1620</v>
      </c>
      <c r="AT15" s="305">
        <v>1377</v>
      </c>
      <c r="AU15" s="305"/>
      <c r="AV15" s="305"/>
    </row>
    <row r="16" spans="1:48">
      <c r="A16" s="41" t="s">
        <v>65</v>
      </c>
      <c r="B16" s="305">
        <v>2964</v>
      </c>
      <c r="C16" s="305">
        <v>2625.7163770490001</v>
      </c>
      <c r="D16" s="305">
        <v>3229</v>
      </c>
      <c r="E16" s="305">
        <v>3899</v>
      </c>
      <c r="F16" s="305">
        <v>3431</v>
      </c>
      <c r="G16" s="305">
        <v>3410</v>
      </c>
      <c r="H16" s="305">
        <v>4602</v>
      </c>
      <c r="I16" s="578">
        <v>6431</v>
      </c>
      <c r="J16" s="305">
        <v>8214</v>
      </c>
      <c r="K16" s="305">
        <v>7974</v>
      </c>
      <c r="L16" s="305"/>
      <c r="M16" s="305">
        <v>690</v>
      </c>
      <c r="N16" s="305">
        <v>675</v>
      </c>
      <c r="O16" s="305">
        <v>983</v>
      </c>
      <c r="P16" s="209">
        <v>881</v>
      </c>
      <c r="Q16" s="305">
        <v>1127</v>
      </c>
      <c r="R16" s="305">
        <v>1056</v>
      </c>
      <c r="S16" s="305">
        <v>811</v>
      </c>
      <c r="T16" s="209">
        <v>906</v>
      </c>
      <c r="U16" s="305">
        <v>893</v>
      </c>
      <c r="V16" s="305">
        <v>863</v>
      </c>
      <c r="W16" s="305">
        <v>716</v>
      </c>
      <c r="X16" s="209">
        <v>959</v>
      </c>
      <c r="Y16" s="305">
        <v>934</v>
      </c>
      <c r="Z16" s="305">
        <v>641</v>
      </c>
      <c r="AA16" s="305">
        <v>955</v>
      </c>
      <c r="AB16" s="209">
        <v>880</v>
      </c>
      <c r="AC16" s="305">
        <v>1190</v>
      </c>
      <c r="AD16" s="305">
        <v>1050</v>
      </c>
      <c r="AE16" s="305">
        <v>1294</v>
      </c>
      <c r="AF16" s="209">
        <v>1068</v>
      </c>
      <c r="AG16" s="578">
        <v>1705</v>
      </c>
      <c r="AH16" s="578">
        <v>1497</v>
      </c>
      <c r="AI16" s="578">
        <v>1833</v>
      </c>
      <c r="AJ16" s="580">
        <v>1396</v>
      </c>
      <c r="AK16" s="305">
        <v>2015</v>
      </c>
      <c r="AL16" s="305">
        <v>2359</v>
      </c>
      <c r="AM16" s="305">
        <v>2342</v>
      </c>
      <c r="AN16" s="209">
        <v>1498</v>
      </c>
      <c r="AO16" s="305">
        <v>1532</v>
      </c>
      <c r="AP16" s="305">
        <v>2100</v>
      </c>
      <c r="AQ16" s="305">
        <v>2028</v>
      </c>
      <c r="AR16" s="209">
        <v>2314</v>
      </c>
      <c r="AS16" s="305">
        <v>1825</v>
      </c>
      <c r="AT16" s="305">
        <v>1898</v>
      </c>
      <c r="AU16" s="305"/>
      <c r="AV16" s="305"/>
    </row>
    <row r="17" spans="1:50">
      <c r="A17" s="41" t="s">
        <v>85</v>
      </c>
      <c r="B17" s="305">
        <v>4769</v>
      </c>
      <c r="C17" s="305">
        <v>5364.2900646509997</v>
      </c>
      <c r="D17" s="305">
        <v>6873</v>
      </c>
      <c r="E17" s="305">
        <v>7852</v>
      </c>
      <c r="F17" s="305">
        <v>8986</v>
      </c>
      <c r="G17" s="305">
        <v>8786</v>
      </c>
      <c r="H17" s="305">
        <v>10323</v>
      </c>
      <c r="I17" s="578">
        <v>14177</v>
      </c>
      <c r="J17" s="305">
        <v>14998</v>
      </c>
      <c r="K17" s="305">
        <v>16091</v>
      </c>
      <c r="L17" s="305"/>
      <c r="M17" s="305">
        <v>1693</v>
      </c>
      <c r="N17" s="305">
        <v>1786</v>
      </c>
      <c r="O17" s="305">
        <v>1925</v>
      </c>
      <c r="P17" s="209">
        <v>1469</v>
      </c>
      <c r="Q17" s="305">
        <v>1972</v>
      </c>
      <c r="R17" s="305">
        <v>2108</v>
      </c>
      <c r="S17" s="305">
        <v>1994</v>
      </c>
      <c r="T17" s="209">
        <v>1777</v>
      </c>
      <c r="U17" s="305">
        <v>2359</v>
      </c>
      <c r="V17" s="305">
        <v>2508</v>
      </c>
      <c r="W17" s="305">
        <v>2004</v>
      </c>
      <c r="X17" s="209">
        <v>2115</v>
      </c>
      <c r="Y17" s="305">
        <v>2106</v>
      </c>
      <c r="Z17" s="305">
        <v>2078</v>
      </c>
      <c r="AA17" s="305">
        <v>2337</v>
      </c>
      <c r="AB17" s="209">
        <v>2265</v>
      </c>
      <c r="AC17" s="305">
        <v>2577</v>
      </c>
      <c r="AD17" s="305">
        <v>2548</v>
      </c>
      <c r="AE17" s="305">
        <v>2741</v>
      </c>
      <c r="AF17" s="209">
        <v>2457</v>
      </c>
      <c r="AG17" s="578">
        <v>2970</v>
      </c>
      <c r="AH17" s="578">
        <v>3509</v>
      </c>
      <c r="AI17" s="578">
        <v>3649</v>
      </c>
      <c r="AJ17" s="580">
        <v>4049</v>
      </c>
      <c r="AK17" s="305">
        <v>4004</v>
      </c>
      <c r="AL17" s="305">
        <v>3721</v>
      </c>
      <c r="AM17" s="305">
        <v>3428</v>
      </c>
      <c r="AN17" s="209">
        <v>3845</v>
      </c>
      <c r="AO17" s="305">
        <v>3613</v>
      </c>
      <c r="AP17" s="305">
        <v>4232</v>
      </c>
      <c r="AQ17" s="305">
        <v>4133</v>
      </c>
      <c r="AR17" s="209">
        <v>4113</v>
      </c>
      <c r="AS17" s="305">
        <v>3889</v>
      </c>
      <c r="AT17" s="305">
        <v>3652</v>
      </c>
      <c r="AU17" s="305"/>
      <c r="AV17" s="305"/>
    </row>
    <row r="18" spans="1:50">
      <c r="C18" s="305"/>
      <c r="D18" s="305"/>
      <c r="E18" s="305"/>
      <c r="F18" s="305"/>
      <c r="G18" s="305"/>
      <c r="H18" s="305" t="s">
        <v>257</v>
      </c>
      <c r="I18" s="578" t="s">
        <v>257</v>
      </c>
      <c r="J18" s="305" t="s">
        <v>257</v>
      </c>
      <c r="K18" s="305"/>
      <c r="L18" s="305"/>
      <c r="P18" s="209"/>
      <c r="Q18" s="305"/>
      <c r="R18" s="305"/>
      <c r="S18" s="305"/>
      <c r="T18" s="209"/>
      <c r="U18" s="305"/>
      <c r="V18" s="305"/>
      <c r="W18" s="305"/>
      <c r="X18" s="209"/>
      <c r="Y18" s="305"/>
      <c r="Z18" s="305"/>
      <c r="AA18" s="305"/>
      <c r="AB18" s="209"/>
      <c r="AC18" s="305"/>
      <c r="AD18" s="305" t="s">
        <v>257</v>
      </c>
      <c r="AE18" s="305" t="s">
        <v>257</v>
      </c>
      <c r="AF18" s="209"/>
      <c r="AG18" s="578" t="s">
        <v>257</v>
      </c>
      <c r="AH18" s="578" t="s">
        <v>257</v>
      </c>
      <c r="AI18" s="578" t="s">
        <v>257</v>
      </c>
      <c r="AJ18" s="580" t="s">
        <v>257</v>
      </c>
      <c r="AK18" s="305"/>
      <c r="AL18" s="305"/>
      <c r="AM18" s="305"/>
      <c r="AN18" s="209"/>
      <c r="AO18" s="305"/>
      <c r="AP18" s="305"/>
      <c r="AQ18" s="305"/>
      <c r="AR18" s="209" t="s">
        <v>257</v>
      </c>
      <c r="AS18" s="305"/>
      <c r="AT18" s="305"/>
      <c r="AU18" s="305"/>
      <c r="AV18" s="305"/>
    </row>
    <row r="19" spans="1:50" s="64" customFormat="1" ht="14.25" customHeight="1">
      <c r="A19" s="304" t="s">
        <v>71</v>
      </c>
      <c r="B19" s="313">
        <v>8109</v>
      </c>
      <c r="C19" s="313">
        <v>7947</v>
      </c>
      <c r="D19" s="313">
        <v>9047</v>
      </c>
      <c r="E19" s="313">
        <v>9611</v>
      </c>
      <c r="F19" s="313">
        <v>10768</v>
      </c>
      <c r="G19" s="313">
        <v>9185</v>
      </c>
      <c r="H19" s="313">
        <v>11025</v>
      </c>
      <c r="I19" s="577">
        <v>10670</v>
      </c>
      <c r="J19" s="313">
        <v>12466</v>
      </c>
      <c r="K19" s="313">
        <v>14663</v>
      </c>
      <c r="L19" s="612"/>
      <c r="M19" s="313">
        <v>2341</v>
      </c>
      <c r="N19" s="313">
        <v>2270</v>
      </c>
      <c r="O19" s="313">
        <v>2239</v>
      </c>
      <c r="P19" s="314">
        <v>2197</v>
      </c>
      <c r="Q19" s="313">
        <v>2550</v>
      </c>
      <c r="R19" s="313">
        <v>2470</v>
      </c>
      <c r="S19" s="313">
        <v>2285</v>
      </c>
      <c r="T19" s="314">
        <v>2306</v>
      </c>
      <c r="U19" s="313">
        <v>2760</v>
      </c>
      <c r="V19" s="313">
        <v>2826</v>
      </c>
      <c r="W19" s="313">
        <v>2665</v>
      </c>
      <c r="X19" s="314">
        <v>2517</v>
      </c>
      <c r="Y19" s="313">
        <v>2619</v>
      </c>
      <c r="Z19" s="313">
        <v>1980</v>
      </c>
      <c r="AA19" s="313">
        <v>2249</v>
      </c>
      <c r="AB19" s="314">
        <v>2337</v>
      </c>
      <c r="AC19" s="313">
        <v>2674</v>
      </c>
      <c r="AD19" s="313">
        <v>2678</v>
      </c>
      <c r="AE19" s="313">
        <v>2866</v>
      </c>
      <c r="AF19" s="314">
        <v>2807</v>
      </c>
      <c r="AG19" s="577">
        <v>2970</v>
      </c>
      <c r="AH19" s="577">
        <v>2495</v>
      </c>
      <c r="AI19" s="577">
        <v>2502</v>
      </c>
      <c r="AJ19" s="579">
        <v>2703</v>
      </c>
      <c r="AK19" s="313">
        <v>3535</v>
      </c>
      <c r="AL19" s="313">
        <v>3180</v>
      </c>
      <c r="AM19" s="313">
        <v>2924</v>
      </c>
      <c r="AN19" s="314">
        <v>2827</v>
      </c>
      <c r="AO19" s="313">
        <v>3122</v>
      </c>
      <c r="AP19" s="313">
        <v>3947</v>
      </c>
      <c r="AQ19" s="313">
        <v>3656</v>
      </c>
      <c r="AR19" s="314">
        <v>3938</v>
      </c>
      <c r="AS19" s="313">
        <v>4187</v>
      </c>
      <c r="AT19" s="313">
        <v>3743</v>
      </c>
      <c r="AU19" s="305"/>
      <c r="AV19" s="305"/>
      <c r="AX19" s="41"/>
    </row>
    <row r="20" spans="1:50">
      <c r="A20" s="41" t="s">
        <v>63</v>
      </c>
      <c r="B20" s="305">
        <v>2287</v>
      </c>
      <c r="C20" s="305">
        <v>2324</v>
      </c>
      <c r="D20" s="305">
        <v>2574</v>
      </c>
      <c r="E20" s="305">
        <v>2721</v>
      </c>
      <c r="F20" s="305">
        <v>3112</v>
      </c>
      <c r="G20" s="305">
        <v>2451</v>
      </c>
      <c r="H20" s="305">
        <v>2908</v>
      </c>
      <c r="I20" s="578">
        <v>3336</v>
      </c>
      <c r="J20" s="305">
        <v>3838</v>
      </c>
      <c r="K20" s="305">
        <v>6023</v>
      </c>
      <c r="L20" s="305"/>
      <c r="M20" s="305">
        <v>646</v>
      </c>
      <c r="N20" s="305">
        <v>701</v>
      </c>
      <c r="O20" s="305">
        <v>623</v>
      </c>
      <c r="P20" s="209">
        <v>604</v>
      </c>
      <c r="Q20" s="305">
        <v>737</v>
      </c>
      <c r="R20" s="305">
        <v>662</v>
      </c>
      <c r="S20" s="305">
        <v>689</v>
      </c>
      <c r="T20" s="209">
        <v>634</v>
      </c>
      <c r="U20" s="305">
        <v>867</v>
      </c>
      <c r="V20" s="305">
        <v>783</v>
      </c>
      <c r="W20" s="305">
        <v>797</v>
      </c>
      <c r="X20" s="209">
        <v>665</v>
      </c>
      <c r="Y20" s="305">
        <v>714</v>
      </c>
      <c r="Z20" s="305">
        <v>524</v>
      </c>
      <c r="AA20" s="305">
        <v>616</v>
      </c>
      <c r="AB20" s="209">
        <v>597</v>
      </c>
      <c r="AC20" s="305">
        <v>726</v>
      </c>
      <c r="AD20" s="305">
        <v>716</v>
      </c>
      <c r="AE20" s="305">
        <v>748</v>
      </c>
      <c r="AF20" s="209">
        <v>718</v>
      </c>
      <c r="AG20" s="578">
        <v>831</v>
      </c>
      <c r="AH20" s="578">
        <v>766</v>
      </c>
      <c r="AI20" s="578">
        <v>918</v>
      </c>
      <c r="AJ20" s="580">
        <v>821</v>
      </c>
      <c r="AK20" s="305">
        <v>1065</v>
      </c>
      <c r="AL20" s="305">
        <v>929</v>
      </c>
      <c r="AM20" s="305">
        <v>945</v>
      </c>
      <c r="AN20" s="209">
        <v>899</v>
      </c>
      <c r="AO20" s="305">
        <v>1002</v>
      </c>
      <c r="AP20" s="305">
        <v>1788</v>
      </c>
      <c r="AQ20" s="305">
        <v>1558</v>
      </c>
      <c r="AR20" s="209">
        <v>1675</v>
      </c>
      <c r="AS20" s="305">
        <v>1852</v>
      </c>
      <c r="AT20" s="305">
        <v>1652</v>
      </c>
      <c r="AU20" s="305"/>
      <c r="AV20" s="305"/>
    </row>
    <row r="21" spans="1:50">
      <c r="A21" s="41" t="s">
        <v>64</v>
      </c>
      <c r="B21" s="305">
        <v>788</v>
      </c>
      <c r="C21" s="305">
        <v>718</v>
      </c>
      <c r="D21" s="305">
        <v>830</v>
      </c>
      <c r="E21" s="305">
        <v>865</v>
      </c>
      <c r="F21" s="305">
        <v>1075</v>
      </c>
      <c r="G21" s="305">
        <v>874</v>
      </c>
      <c r="H21" s="305">
        <v>1036</v>
      </c>
      <c r="I21" s="578">
        <v>992</v>
      </c>
      <c r="J21" s="305">
        <v>1238</v>
      </c>
      <c r="K21" s="305">
        <v>897</v>
      </c>
      <c r="L21" s="305"/>
      <c r="M21" s="305">
        <v>239</v>
      </c>
      <c r="N21" s="305">
        <v>174</v>
      </c>
      <c r="O21" s="305">
        <v>216</v>
      </c>
      <c r="P21" s="209">
        <v>201</v>
      </c>
      <c r="Q21" s="305">
        <v>232</v>
      </c>
      <c r="R21" s="305">
        <v>211</v>
      </c>
      <c r="S21" s="305">
        <v>213</v>
      </c>
      <c r="T21" s="209">
        <v>209</v>
      </c>
      <c r="U21" s="305">
        <v>303</v>
      </c>
      <c r="V21" s="305">
        <v>274</v>
      </c>
      <c r="W21" s="305">
        <v>262</v>
      </c>
      <c r="X21" s="209">
        <v>236</v>
      </c>
      <c r="Y21" s="305">
        <v>273</v>
      </c>
      <c r="Z21" s="305">
        <v>193</v>
      </c>
      <c r="AA21" s="305">
        <v>197</v>
      </c>
      <c r="AB21" s="209">
        <v>211</v>
      </c>
      <c r="AC21" s="305">
        <v>267</v>
      </c>
      <c r="AD21" s="305">
        <v>256</v>
      </c>
      <c r="AE21" s="305">
        <v>258</v>
      </c>
      <c r="AF21" s="209">
        <v>255</v>
      </c>
      <c r="AG21" s="578">
        <v>269</v>
      </c>
      <c r="AH21" s="578">
        <v>222</v>
      </c>
      <c r="AI21" s="578">
        <v>251</v>
      </c>
      <c r="AJ21" s="580">
        <v>250</v>
      </c>
      <c r="AK21" s="305">
        <v>376</v>
      </c>
      <c r="AL21" s="305">
        <v>396</v>
      </c>
      <c r="AM21" s="305">
        <v>272</v>
      </c>
      <c r="AN21" s="209">
        <v>194</v>
      </c>
      <c r="AO21" s="305">
        <v>276</v>
      </c>
      <c r="AP21" s="305">
        <v>196</v>
      </c>
      <c r="AQ21" s="305">
        <v>233</v>
      </c>
      <c r="AR21" s="209">
        <v>192</v>
      </c>
      <c r="AS21" s="305">
        <v>294</v>
      </c>
      <c r="AT21" s="305">
        <v>221</v>
      </c>
      <c r="AU21" s="305"/>
      <c r="AV21" s="305"/>
    </row>
    <row r="22" spans="1:50">
      <c r="A22" s="41" t="s">
        <v>67</v>
      </c>
      <c r="B22" s="305">
        <v>2241</v>
      </c>
      <c r="C22" s="305">
        <v>2313</v>
      </c>
      <c r="D22" s="305">
        <v>2673</v>
      </c>
      <c r="E22" s="305">
        <v>2807</v>
      </c>
      <c r="F22" s="305">
        <v>2750</v>
      </c>
      <c r="G22" s="305">
        <v>2696</v>
      </c>
      <c r="H22" s="305">
        <v>3102</v>
      </c>
      <c r="I22" s="578">
        <v>2422</v>
      </c>
      <c r="J22" s="305">
        <v>2251</v>
      </c>
      <c r="K22" s="305">
        <v>2655</v>
      </c>
      <c r="L22" s="305"/>
      <c r="M22" s="305">
        <v>709</v>
      </c>
      <c r="N22" s="305">
        <v>677</v>
      </c>
      <c r="O22" s="305">
        <v>646</v>
      </c>
      <c r="P22" s="209">
        <v>641</v>
      </c>
      <c r="Q22" s="305">
        <v>804</v>
      </c>
      <c r="R22" s="305">
        <v>715</v>
      </c>
      <c r="S22" s="305">
        <v>598</v>
      </c>
      <c r="T22" s="209">
        <v>691</v>
      </c>
      <c r="U22" s="305">
        <v>724</v>
      </c>
      <c r="V22" s="305">
        <v>738</v>
      </c>
      <c r="W22" s="305">
        <v>613</v>
      </c>
      <c r="X22" s="209">
        <v>675</v>
      </c>
      <c r="Y22" s="305">
        <v>745</v>
      </c>
      <c r="Z22" s="305">
        <v>600</v>
      </c>
      <c r="AA22" s="305">
        <v>618</v>
      </c>
      <c r="AB22" s="209">
        <v>733</v>
      </c>
      <c r="AC22" s="305">
        <v>787</v>
      </c>
      <c r="AD22" s="305">
        <v>813</v>
      </c>
      <c r="AE22" s="305">
        <v>683</v>
      </c>
      <c r="AF22" s="209">
        <v>819</v>
      </c>
      <c r="AG22" s="578">
        <v>874</v>
      </c>
      <c r="AH22" s="578">
        <v>526</v>
      </c>
      <c r="AI22" s="578">
        <v>388</v>
      </c>
      <c r="AJ22" s="580">
        <v>634</v>
      </c>
      <c r="AK22" s="305">
        <v>680</v>
      </c>
      <c r="AL22" s="305">
        <v>535</v>
      </c>
      <c r="AM22" s="305">
        <v>472</v>
      </c>
      <c r="AN22" s="209">
        <v>564</v>
      </c>
      <c r="AO22" s="305">
        <v>650</v>
      </c>
      <c r="AP22" s="305">
        <v>699</v>
      </c>
      <c r="AQ22" s="305">
        <v>575</v>
      </c>
      <c r="AR22" s="209">
        <v>731</v>
      </c>
      <c r="AS22" s="305">
        <v>830</v>
      </c>
      <c r="AT22" s="305">
        <v>726</v>
      </c>
      <c r="AU22" s="305"/>
      <c r="AV22" s="305"/>
    </row>
    <row r="23" spans="1:50">
      <c r="A23" s="41" t="s">
        <v>65</v>
      </c>
      <c r="B23" s="305">
        <v>1410</v>
      </c>
      <c r="C23" s="305">
        <v>1231</v>
      </c>
      <c r="D23" s="305">
        <v>1355</v>
      </c>
      <c r="E23" s="305">
        <v>1547</v>
      </c>
      <c r="F23" s="305">
        <v>2037</v>
      </c>
      <c r="G23" s="305">
        <v>1648</v>
      </c>
      <c r="H23" s="305">
        <v>1870</v>
      </c>
      <c r="I23" s="578">
        <v>1871</v>
      </c>
      <c r="J23" s="305">
        <v>2172</v>
      </c>
      <c r="K23" s="305">
        <v>2288</v>
      </c>
      <c r="L23" s="305"/>
      <c r="M23" s="305">
        <v>343</v>
      </c>
      <c r="N23" s="305">
        <v>315</v>
      </c>
      <c r="O23" s="305">
        <v>358</v>
      </c>
      <c r="P23" s="209">
        <v>339</v>
      </c>
      <c r="Q23" s="305">
        <v>350</v>
      </c>
      <c r="R23" s="305">
        <v>462</v>
      </c>
      <c r="S23" s="305">
        <v>380</v>
      </c>
      <c r="T23" s="209">
        <v>354</v>
      </c>
      <c r="U23" s="305">
        <v>418</v>
      </c>
      <c r="V23" s="305">
        <v>547</v>
      </c>
      <c r="W23" s="305">
        <v>557</v>
      </c>
      <c r="X23" s="209">
        <v>515</v>
      </c>
      <c r="Y23" s="305">
        <v>475</v>
      </c>
      <c r="Z23" s="305">
        <v>302</v>
      </c>
      <c r="AA23" s="305">
        <v>457</v>
      </c>
      <c r="AB23" s="209">
        <v>414</v>
      </c>
      <c r="AC23" s="305">
        <v>440</v>
      </c>
      <c r="AD23" s="305">
        <v>445</v>
      </c>
      <c r="AE23" s="305">
        <v>500</v>
      </c>
      <c r="AF23" s="209">
        <v>485</v>
      </c>
      <c r="AG23" s="578">
        <v>420</v>
      </c>
      <c r="AH23" s="578">
        <v>466</v>
      </c>
      <c r="AI23" s="578">
        <v>478</v>
      </c>
      <c r="AJ23" s="580">
        <v>507</v>
      </c>
      <c r="AK23" s="305">
        <v>548</v>
      </c>
      <c r="AL23" s="305">
        <v>524</v>
      </c>
      <c r="AM23" s="305">
        <v>577</v>
      </c>
      <c r="AN23" s="209">
        <v>523</v>
      </c>
      <c r="AO23" s="305">
        <v>561</v>
      </c>
      <c r="AP23" s="305">
        <v>536</v>
      </c>
      <c r="AQ23" s="305">
        <v>569</v>
      </c>
      <c r="AR23" s="209">
        <v>622</v>
      </c>
      <c r="AS23" s="305">
        <v>520</v>
      </c>
      <c r="AT23" s="305">
        <v>532</v>
      </c>
      <c r="AU23" s="305"/>
      <c r="AV23" s="305"/>
    </row>
    <row r="24" spans="1:50">
      <c r="A24" s="41" t="s">
        <v>85</v>
      </c>
      <c r="B24" s="305">
        <v>1383</v>
      </c>
      <c r="C24" s="305">
        <v>1361</v>
      </c>
      <c r="D24" s="305">
        <v>1615</v>
      </c>
      <c r="E24" s="305">
        <v>1671</v>
      </c>
      <c r="F24" s="305">
        <v>1794</v>
      </c>
      <c r="G24" s="305">
        <v>1516</v>
      </c>
      <c r="H24" s="305">
        <v>2109</v>
      </c>
      <c r="I24" s="578">
        <v>2049</v>
      </c>
      <c r="J24" s="305">
        <v>2967</v>
      </c>
      <c r="K24" s="305">
        <v>2800</v>
      </c>
      <c r="L24" s="305"/>
      <c r="M24" s="305">
        <v>404</v>
      </c>
      <c r="N24" s="305">
        <v>403</v>
      </c>
      <c r="O24" s="305">
        <v>396</v>
      </c>
      <c r="P24" s="209">
        <v>412</v>
      </c>
      <c r="Q24" s="305">
        <v>427</v>
      </c>
      <c r="R24" s="305">
        <v>420</v>
      </c>
      <c r="S24" s="305">
        <v>405</v>
      </c>
      <c r="T24" s="209">
        <v>418</v>
      </c>
      <c r="U24" s="305">
        <v>448</v>
      </c>
      <c r="V24" s="305">
        <v>484</v>
      </c>
      <c r="W24" s="305">
        <v>436</v>
      </c>
      <c r="X24" s="209">
        <v>426</v>
      </c>
      <c r="Y24" s="305">
        <v>412</v>
      </c>
      <c r="Z24" s="305">
        <v>361</v>
      </c>
      <c r="AA24" s="305">
        <v>361</v>
      </c>
      <c r="AB24" s="209">
        <v>382</v>
      </c>
      <c r="AC24" s="305">
        <v>454</v>
      </c>
      <c r="AD24" s="305">
        <v>448</v>
      </c>
      <c r="AE24" s="305">
        <v>677</v>
      </c>
      <c r="AF24" s="209">
        <v>530</v>
      </c>
      <c r="AG24" s="578">
        <v>576</v>
      </c>
      <c r="AH24" s="578">
        <v>515</v>
      </c>
      <c r="AI24" s="578">
        <v>467</v>
      </c>
      <c r="AJ24" s="580">
        <v>491</v>
      </c>
      <c r="AK24" s="305">
        <v>866</v>
      </c>
      <c r="AL24" s="305">
        <v>796</v>
      </c>
      <c r="AM24" s="305">
        <v>658</v>
      </c>
      <c r="AN24" s="209">
        <v>647</v>
      </c>
      <c r="AO24" s="305">
        <v>633</v>
      </c>
      <c r="AP24" s="41">
        <v>728</v>
      </c>
      <c r="AQ24" s="41">
        <v>721</v>
      </c>
      <c r="AR24" s="209">
        <v>718</v>
      </c>
      <c r="AS24" s="305">
        <v>691</v>
      </c>
      <c r="AT24" s="41">
        <v>612</v>
      </c>
      <c r="AU24" s="305"/>
      <c r="AV24" s="305"/>
    </row>
    <row r="25" spans="1:50" ht="10.5" customHeight="1">
      <c r="C25" s="300"/>
      <c r="P25" s="133"/>
      <c r="T25" s="133"/>
      <c r="X25" s="133"/>
      <c r="AB25" s="133"/>
      <c r="AF25" s="133"/>
      <c r="AJ25" s="133"/>
      <c r="AN25" s="133"/>
      <c r="AR25" s="133"/>
      <c r="AU25" s="305"/>
      <c r="AV25" s="305"/>
    </row>
    <row r="26" spans="1:50" ht="11.5">
      <c r="A26" s="300" t="s">
        <v>84</v>
      </c>
      <c r="B26" s="300"/>
      <c r="P26" s="133"/>
      <c r="T26" s="133"/>
      <c r="X26" s="133"/>
      <c r="AB26" s="133"/>
      <c r="AF26" s="133"/>
      <c r="AJ26" s="133"/>
      <c r="AN26" s="133"/>
      <c r="AR26" s="133"/>
      <c r="AU26" s="305"/>
      <c r="AV26" s="305"/>
    </row>
    <row r="27" spans="1:50" s="64" customFormat="1" ht="9" customHeight="1">
      <c r="A27" s="590" t="s">
        <v>361</v>
      </c>
      <c r="B27" s="248">
        <v>2015</v>
      </c>
      <c r="C27" s="248">
        <v>2016</v>
      </c>
      <c r="D27" s="248">
        <v>2017</v>
      </c>
      <c r="E27" s="248">
        <v>2018</v>
      </c>
      <c r="F27" s="248">
        <v>2019</v>
      </c>
      <c r="G27" s="248">
        <v>2020</v>
      </c>
      <c r="H27" s="248">
        <v>2021</v>
      </c>
      <c r="I27" s="248">
        <v>2022</v>
      </c>
      <c r="J27" s="248">
        <v>2023</v>
      </c>
      <c r="K27" s="248">
        <v>2024</v>
      </c>
      <c r="L27" s="42"/>
      <c r="M27" s="248" t="s">
        <v>769</v>
      </c>
      <c r="N27" s="248" t="s">
        <v>770</v>
      </c>
      <c r="O27" s="248" t="s">
        <v>771</v>
      </c>
      <c r="P27" s="249" t="s">
        <v>772</v>
      </c>
      <c r="Q27" s="248" t="s">
        <v>764</v>
      </c>
      <c r="R27" s="248" t="s">
        <v>765</v>
      </c>
      <c r="S27" s="248" t="s">
        <v>766</v>
      </c>
      <c r="T27" s="249" t="s">
        <v>767</v>
      </c>
      <c r="U27" s="248" t="s">
        <v>768</v>
      </c>
      <c r="V27" s="248" t="s">
        <v>730</v>
      </c>
      <c r="W27" s="248" t="s">
        <v>731</v>
      </c>
      <c r="X27" s="249" t="s">
        <v>732</v>
      </c>
      <c r="Y27" s="248" t="s">
        <v>733</v>
      </c>
      <c r="Z27" s="248" t="s">
        <v>626</v>
      </c>
      <c r="AA27" s="248" t="s">
        <v>620</v>
      </c>
      <c r="AB27" s="249" t="s">
        <v>619</v>
      </c>
      <c r="AC27" s="248" t="s">
        <v>614</v>
      </c>
      <c r="AD27" s="248" t="s">
        <v>604</v>
      </c>
      <c r="AE27" s="248" t="s">
        <v>589</v>
      </c>
      <c r="AF27" s="249" t="s">
        <v>587</v>
      </c>
      <c r="AG27" s="248" t="s">
        <v>504</v>
      </c>
      <c r="AH27" s="248" t="s">
        <v>551</v>
      </c>
      <c r="AI27" s="248" t="s">
        <v>532</v>
      </c>
      <c r="AJ27" s="249" t="s">
        <v>530</v>
      </c>
      <c r="AK27" s="248" t="s">
        <v>803</v>
      </c>
      <c r="AL27" s="248" t="s">
        <v>812</v>
      </c>
      <c r="AM27" s="248" t="s">
        <v>816</v>
      </c>
      <c r="AN27" s="249" t="s">
        <v>835</v>
      </c>
      <c r="AO27" s="248" t="s">
        <v>872</v>
      </c>
      <c r="AP27" s="248" t="s">
        <v>986</v>
      </c>
      <c r="AQ27" s="248" t="s">
        <v>1016</v>
      </c>
      <c r="AR27" s="249" t="s">
        <v>1039</v>
      </c>
      <c r="AS27" s="248" t="s">
        <v>1076</v>
      </c>
      <c r="AT27" s="248" t="s">
        <v>1285</v>
      </c>
      <c r="AU27" s="305"/>
      <c r="AV27" s="305"/>
    </row>
    <row r="28" spans="1:50" ht="11.5">
      <c r="A28" s="304" t="s">
        <v>62</v>
      </c>
      <c r="B28" s="313">
        <v>28662.561317075</v>
      </c>
      <c r="C28" s="313">
        <v>27102</v>
      </c>
      <c r="D28" s="313">
        <v>31364</v>
      </c>
      <c r="E28" s="313">
        <v>38285</v>
      </c>
      <c r="F28" s="313">
        <v>40849</v>
      </c>
      <c r="G28" s="313">
        <v>36122</v>
      </c>
      <c r="H28" s="313">
        <v>39645</v>
      </c>
      <c r="I28" s="313">
        <v>49694</v>
      </c>
      <c r="J28" s="313">
        <v>60343</v>
      </c>
      <c r="K28" s="313">
        <v>63604</v>
      </c>
      <c r="L28" s="612"/>
      <c r="M28" s="313">
        <v>7411</v>
      </c>
      <c r="N28" s="313">
        <v>7879</v>
      </c>
      <c r="O28" s="313">
        <v>7610</v>
      </c>
      <c r="P28" s="314">
        <v>8464</v>
      </c>
      <c r="Q28" s="313">
        <v>8233</v>
      </c>
      <c r="R28" s="313">
        <v>9843</v>
      </c>
      <c r="S28" s="313">
        <v>9651</v>
      </c>
      <c r="T28" s="314">
        <v>10558</v>
      </c>
      <c r="U28" s="313">
        <v>9785</v>
      </c>
      <c r="V28" s="313">
        <v>10626</v>
      </c>
      <c r="W28" s="313">
        <v>10158</v>
      </c>
      <c r="X28" s="314">
        <v>10280</v>
      </c>
      <c r="Y28" s="313">
        <v>9134</v>
      </c>
      <c r="Z28" s="313">
        <v>8458</v>
      </c>
      <c r="AA28" s="313">
        <v>8724</v>
      </c>
      <c r="AB28" s="314">
        <v>9806</v>
      </c>
      <c r="AC28" s="313">
        <v>8773</v>
      </c>
      <c r="AD28" s="313">
        <v>9733</v>
      </c>
      <c r="AE28" s="313">
        <v>9966</v>
      </c>
      <c r="AF28" s="314">
        <v>11173</v>
      </c>
      <c r="AG28" s="313">
        <v>11088</v>
      </c>
      <c r="AH28" s="313">
        <v>11868</v>
      </c>
      <c r="AI28" s="313">
        <v>12802</v>
      </c>
      <c r="AJ28" s="314">
        <v>13936</v>
      </c>
      <c r="AK28" s="313">
        <v>13868</v>
      </c>
      <c r="AL28" s="313">
        <v>15910</v>
      </c>
      <c r="AM28" s="313">
        <v>14997</v>
      </c>
      <c r="AN28" s="314">
        <v>15568</v>
      </c>
      <c r="AO28" s="313">
        <v>14143</v>
      </c>
      <c r="AP28" s="313">
        <v>16511</v>
      </c>
      <c r="AQ28" s="313">
        <v>15699</v>
      </c>
      <c r="AR28" s="314">
        <v>17251</v>
      </c>
      <c r="AS28" s="313">
        <v>15536</v>
      </c>
      <c r="AT28" s="313">
        <v>15130</v>
      </c>
      <c r="AU28" s="305"/>
      <c r="AV28" s="305"/>
    </row>
    <row r="29" spans="1:50">
      <c r="A29" s="41" t="s">
        <v>63</v>
      </c>
      <c r="B29" s="305">
        <v>6722.1259483753547</v>
      </c>
      <c r="C29" s="305">
        <v>6245</v>
      </c>
      <c r="D29" s="305">
        <v>7136</v>
      </c>
      <c r="E29" s="305">
        <v>8447</v>
      </c>
      <c r="F29" s="305">
        <v>8940</v>
      </c>
      <c r="G29" s="305">
        <v>7731</v>
      </c>
      <c r="H29" s="305">
        <v>8856</v>
      </c>
      <c r="I29" s="305">
        <v>12814</v>
      </c>
      <c r="J29" s="305">
        <v>15428</v>
      </c>
      <c r="K29" s="305">
        <v>17795</v>
      </c>
      <c r="L29" s="305"/>
      <c r="M29" s="305">
        <v>1806</v>
      </c>
      <c r="N29" s="305">
        <v>1722</v>
      </c>
      <c r="O29" s="305">
        <v>1785</v>
      </c>
      <c r="P29" s="209">
        <v>1823</v>
      </c>
      <c r="Q29" s="305">
        <v>1888</v>
      </c>
      <c r="R29" s="305">
        <v>2118</v>
      </c>
      <c r="S29" s="305">
        <v>2141</v>
      </c>
      <c r="T29" s="209">
        <v>2300</v>
      </c>
      <c r="U29" s="305">
        <v>2227</v>
      </c>
      <c r="V29" s="305">
        <v>2403</v>
      </c>
      <c r="W29" s="305">
        <v>2191</v>
      </c>
      <c r="X29" s="209">
        <v>2119</v>
      </c>
      <c r="Y29" s="305">
        <v>2099</v>
      </c>
      <c r="Z29" s="305">
        <v>1841</v>
      </c>
      <c r="AA29" s="305">
        <v>1962</v>
      </c>
      <c r="AB29" s="209">
        <v>1829</v>
      </c>
      <c r="AC29" s="305">
        <v>1915</v>
      </c>
      <c r="AD29" s="305">
        <v>2158</v>
      </c>
      <c r="AE29" s="305">
        <v>2326</v>
      </c>
      <c r="AF29" s="209">
        <v>2457</v>
      </c>
      <c r="AG29" s="305">
        <v>2767</v>
      </c>
      <c r="AH29" s="305">
        <v>3139</v>
      </c>
      <c r="AI29" s="305">
        <v>3433</v>
      </c>
      <c r="AJ29" s="209">
        <v>3475</v>
      </c>
      <c r="AK29" s="305">
        <v>3759</v>
      </c>
      <c r="AL29" s="305">
        <v>3954</v>
      </c>
      <c r="AM29" s="305">
        <v>3817</v>
      </c>
      <c r="AN29" s="209">
        <v>3898</v>
      </c>
      <c r="AO29" s="305">
        <v>3927</v>
      </c>
      <c r="AP29" s="305">
        <v>4860</v>
      </c>
      <c r="AQ29" s="305">
        <v>4348</v>
      </c>
      <c r="AR29" s="209">
        <v>4660</v>
      </c>
      <c r="AS29" s="305">
        <v>4719</v>
      </c>
      <c r="AT29" s="305">
        <v>4470</v>
      </c>
      <c r="AU29" s="305"/>
      <c r="AV29" s="305"/>
    </row>
    <row r="30" spans="1:50">
      <c r="A30" s="41" t="s">
        <v>64</v>
      </c>
      <c r="B30" s="305">
        <v>4135.6690319910449</v>
      </c>
      <c r="C30" s="305">
        <v>3537</v>
      </c>
      <c r="D30" s="305">
        <v>4276</v>
      </c>
      <c r="E30" s="305">
        <v>5026</v>
      </c>
      <c r="F30" s="305">
        <v>6380</v>
      </c>
      <c r="G30" s="305">
        <v>4636</v>
      </c>
      <c r="H30" s="305">
        <v>5297</v>
      </c>
      <c r="I30" s="305">
        <v>6845</v>
      </c>
      <c r="J30" s="305">
        <v>8471</v>
      </c>
      <c r="K30" s="305">
        <v>7760</v>
      </c>
      <c r="L30" s="305"/>
      <c r="M30" s="305">
        <v>1100</v>
      </c>
      <c r="N30" s="305">
        <v>1104</v>
      </c>
      <c r="O30" s="305">
        <v>969</v>
      </c>
      <c r="P30" s="209">
        <v>1103</v>
      </c>
      <c r="Q30" s="305">
        <v>1024</v>
      </c>
      <c r="R30" s="305">
        <v>1199</v>
      </c>
      <c r="S30" s="305">
        <v>1230</v>
      </c>
      <c r="T30" s="209">
        <v>1573</v>
      </c>
      <c r="U30" s="305">
        <v>1571</v>
      </c>
      <c r="V30" s="305">
        <v>1616</v>
      </c>
      <c r="W30" s="305">
        <v>1646</v>
      </c>
      <c r="X30" s="209">
        <v>1547</v>
      </c>
      <c r="Y30" s="305">
        <v>1116</v>
      </c>
      <c r="Z30" s="305">
        <v>1251</v>
      </c>
      <c r="AA30" s="305">
        <v>994</v>
      </c>
      <c r="AB30" s="209">
        <v>1275</v>
      </c>
      <c r="AC30" s="305">
        <v>1156</v>
      </c>
      <c r="AD30" s="305">
        <v>1378</v>
      </c>
      <c r="AE30" s="305">
        <v>1368</v>
      </c>
      <c r="AF30" s="209">
        <v>1395</v>
      </c>
      <c r="AG30" s="305">
        <v>1565</v>
      </c>
      <c r="AH30" s="305">
        <v>1597</v>
      </c>
      <c r="AI30" s="305">
        <v>1810</v>
      </c>
      <c r="AJ30" s="209">
        <v>1873</v>
      </c>
      <c r="AK30" s="305">
        <v>1985</v>
      </c>
      <c r="AL30" s="305">
        <v>2116</v>
      </c>
      <c r="AM30" s="305">
        <v>2194</v>
      </c>
      <c r="AN30" s="209">
        <v>2176</v>
      </c>
      <c r="AO30" s="305">
        <v>1737</v>
      </c>
      <c r="AP30" s="305">
        <v>2122</v>
      </c>
      <c r="AQ30" s="305">
        <v>1809</v>
      </c>
      <c r="AR30" s="209">
        <v>2092</v>
      </c>
      <c r="AS30" s="305">
        <v>1919</v>
      </c>
      <c r="AT30" s="305">
        <v>1932</v>
      </c>
      <c r="AU30" s="305"/>
      <c r="AV30" s="305"/>
    </row>
    <row r="31" spans="1:50">
      <c r="A31" s="41" t="s">
        <v>67</v>
      </c>
      <c r="B31" s="305">
        <v>6624.6941099552696</v>
      </c>
      <c r="C31" s="305">
        <v>6895</v>
      </c>
      <c r="D31" s="305">
        <v>7992</v>
      </c>
      <c r="E31" s="305">
        <v>9104</v>
      </c>
      <c r="F31" s="305">
        <v>9431</v>
      </c>
      <c r="G31" s="305">
        <v>8678</v>
      </c>
      <c r="H31" s="305">
        <v>8817</v>
      </c>
      <c r="I31" s="305">
        <v>8327</v>
      </c>
      <c r="J31" s="305">
        <v>8626</v>
      </c>
      <c r="K31" s="305">
        <v>8719</v>
      </c>
      <c r="L31" s="305"/>
      <c r="M31" s="305">
        <v>1758</v>
      </c>
      <c r="N31" s="305">
        <v>2109</v>
      </c>
      <c r="O31" s="305">
        <v>1977</v>
      </c>
      <c r="P31" s="209">
        <v>2148</v>
      </c>
      <c r="Q31" s="305">
        <v>1864</v>
      </c>
      <c r="R31" s="305">
        <v>2471</v>
      </c>
      <c r="S31" s="305">
        <v>2224</v>
      </c>
      <c r="T31" s="209">
        <v>2545</v>
      </c>
      <c r="U31" s="305">
        <v>2432</v>
      </c>
      <c r="V31" s="305">
        <v>2473</v>
      </c>
      <c r="W31" s="305">
        <v>2154</v>
      </c>
      <c r="X31" s="209">
        <v>2372</v>
      </c>
      <c r="Y31" s="305">
        <v>2132</v>
      </c>
      <c r="Z31" s="305">
        <v>1959</v>
      </c>
      <c r="AA31" s="305">
        <v>2096</v>
      </c>
      <c r="AB31" s="209">
        <v>2491</v>
      </c>
      <c r="AC31" s="305">
        <v>1992</v>
      </c>
      <c r="AD31" s="305">
        <v>2172</v>
      </c>
      <c r="AE31" s="305">
        <v>2172</v>
      </c>
      <c r="AF31" s="209">
        <v>2481</v>
      </c>
      <c r="AG31" s="305">
        <v>2172</v>
      </c>
      <c r="AH31" s="305">
        <v>2177</v>
      </c>
      <c r="AI31" s="305">
        <v>1832</v>
      </c>
      <c r="AJ31" s="209">
        <v>2146</v>
      </c>
      <c r="AK31" s="305">
        <v>2155</v>
      </c>
      <c r="AL31" s="305">
        <v>2426</v>
      </c>
      <c r="AM31" s="305">
        <v>1850</v>
      </c>
      <c r="AN31" s="209">
        <v>2195</v>
      </c>
      <c r="AO31" s="305">
        <v>2022</v>
      </c>
      <c r="AP31" s="305">
        <v>2249</v>
      </c>
      <c r="AQ31" s="305">
        <v>2086</v>
      </c>
      <c r="AR31" s="209">
        <v>2362</v>
      </c>
      <c r="AS31" s="305">
        <v>1930</v>
      </c>
      <c r="AT31" s="305">
        <v>2034</v>
      </c>
      <c r="AU31" s="305"/>
      <c r="AV31" s="305"/>
    </row>
    <row r="32" spans="1:50">
      <c r="A32" s="41" t="s">
        <v>65</v>
      </c>
      <c r="B32" s="305">
        <v>4522</v>
      </c>
      <c r="C32" s="305">
        <v>3840</v>
      </c>
      <c r="D32" s="305">
        <v>4085</v>
      </c>
      <c r="E32" s="305">
        <v>5353</v>
      </c>
      <c r="F32" s="305">
        <v>5433</v>
      </c>
      <c r="G32" s="305">
        <v>5020</v>
      </c>
      <c r="H32" s="305">
        <v>5489</v>
      </c>
      <c r="I32" s="305">
        <v>7757</v>
      </c>
      <c r="J32" s="305">
        <v>9900</v>
      </c>
      <c r="K32" s="305">
        <v>10832</v>
      </c>
      <c r="L32" s="305"/>
      <c r="M32" s="305">
        <v>997</v>
      </c>
      <c r="N32" s="305">
        <v>1003</v>
      </c>
      <c r="O32" s="305">
        <v>1037</v>
      </c>
      <c r="P32" s="209">
        <v>1048</v>
      </c>
      <c r="Q32" s="305">
        <v>1103</v>
      </c>
      <c r="R32" s="305">
        <v>1350</v>
      </c>
      <c r="S32" s="305">
        <v>1444</v>
      </c>
      <c r="T32" s="209">
        <v>1456</v>
      </c>
      <c r="U32" s="305">
        <v>1182</v>
      </c>
      <c r="V32" s="305">
        <v>1396</v>
      </c>
      <c r="W32" s="305">
        <v>1351</v>
      </c>
      <c r="X32" s="209">
        <v>1504</v>
      </c>
      <c r="Y32" s="305">
        <v>1369</v>
      </c>
      <c r="Z32" s="305">
        <v>1063</v>
      </c>
      <c r="AA32" s="305">
        <v>1283</v>
      </c>
      <c r="AB32" s="209">
        <v>1305</v>
      </c>
      <c r="AC32" s="305">
        <v>1208</v>
      </c>
      <c r="AD32" s="305">
        <v>1405</v>
      </c>
      <c r="AE32" s="305">
        <v>1406</v>
      </c>
      <c r="AF32" s="209">
        <v>1470</v>
      </c>
      <c r="AG32" s="305">
        <v>1683</v>
      </c>
      <c r="AH32" s="305">
        <v>1902</v>
      </c>
      <c r="AI32" s="305">
        <v>2046</v>
      </c>
      <c r="AJ32" s="209">
        <v>2126</v>
      </c>
      <c r="AK32" s="305">
        <v>2048</v>
      </c>
      <c r="AL32" s="305">
        <v>2786</v>
      </c>
      <c r="AM32" s="305">
        <v>2611</v>
      </c>
      <c r="AN32" s="209">
        <v>2455</v>
      </c>
      <c r="AO32" s="305">
        <v>2254</v>
      </c>
      <c r="AP32" s="305">
        <v>2725</v>
      </c>
      <c r="AQ32" s="305">
        <v>2759</v>
      </c>
      <c r="AR32" s="209">
        <v>3094</v>
      </c>
      <c r="AS32" s="305">
        <v>2528</v>
      </c>
      <c r="AT32" s="305">
        <v>2248</v>
      </c>
      <c r="AU32" s="305"/>
      <c r="AV32" s="305"/>
    </row>
    <row r="33" spans="1:48">
      <c r="A33" s="41" t="s">
        <v>85</v>
      </c>
      <c r="B33" s="305">
        <v>6658</v>
      </c>
      <c r="C33" s="305">
        <v>6585</v>
      </c>
      <c r="D33" s="305">
        <v>7875</v>
      </c>
      <c r="E33" s="305">
        <v>10355</v>
      </c>
      <c r="F33" s="305">
        <v>10665</v>
      </c>
      <c r="G33" s="305">
        <v>10057</v>
      </c>
      <c r="H33" s="305">
        <v>11186</v>
      </c>
      <c r="I33" s="305">
        <v>13951</v>
      </c>
      <c r="J33" s="305">
        <v>17918</v>
      </c>
      <c r="K33" s="305">
        <v>18498</v>
      </c>
      <c r="L33" s="305"/>
      <c r="M33" s="305">
        <v>1750</v>
      </c>
      <c r="N33" s="305">
        <v>1941</v>
      </c>
      <c r="O33" s="305">
        <v>1842</v>
      </c>
      <c r="P33" s="209">
        <v>2342</v>
      </c>
      <c r="Q33" s="305">
        <v>2354</v>
      </c>
      <c r="R33" s="305">
        <v>2705</v>
      </c>
      <c r="S33" s="305">
        <v>2612</v>
      </c>
      <c r="T33" s="209">
        <v>2684</v>
      </c>
      <c r="U33" s="305">
        <v>2373</v>
      </c>
      <c r="V33" s="305">
        <v>2738</v>
      </c>
      <c r="W33" s="305">
        <v>2816</v>
      </c>
      <c r="X33" s="209">
        <v>2738</v>
      </c>
      <c r="Y33" s="305">
        <v>2418</v>
      </c>
      <c r="Z33" s="305">
        <v>2344</v>
      </c>
      <c r="AA33" s="305">
        <v>2389</v>
      </c>
      <c r="AB33" s="209">
        <v>2906</v>
      </c>
      <c r="AC33" s="305">
        <v>2502</v>
      </c>
      <c r="AD33" s="305">
        <v>2620</v>
      </c>
      <c r="AE33" s="305">
        <v>2694</v>
      </c>
      <c r="AF33" s="209">
        <v>3370</v>
      </c>
      <c r="AG33" s="305">
        <v>2901</v>
      </c>
      <c r="AH33" s="305">
        <v>3053</v>
      </c>
      <c r="AI33" s="305">
        <v>3681</v>
      </c>
      <c r="AJ33" s="209">
        <v>4316</v>
      </c>
      <c r="AK33" s="305">
        <v>3921</v>
      </c>
      <c r="AL33" s="305">
        <v>4628</v>
      </c>
      <c r="AM33" s="305">
        <v>4525</v>
      </c>
      <c r="AN33" s="209">
        <v>4844</v>
      </c>
      <c r="AO33" s="305">
        <v>4203</v>
      </c>
      <c r="AP33" s="305">
        <v>4555</v>
      </c>
      <c r="AQ33" s="305">
        <v>4697</v>
      </c>
      <c r="AR33" s="209">
        <v>5043</v>
      </c>
      <c r="AS33" s="305">
        <v>4440</v>
      </c>
      <c r="AT33" s="305">
        <v>4446</v>
      </c>
      <c r="AU33" s="305"/>
      <c r="AV33" s="305"/>
    </row>
    <row r="34" spans="1:48">
      <c r="D34" s="305"/>
      <c r="E34" s="305"/>
      <c r="F34" s="305"/>
      <c r="G34" s="305"/>
      <c r="H34" s="305" t="s">
        <v>257</v>
      </c>
      <c r="I34" s="305"/>
      <c r="J34" s="305" t="s">
        <v>257</v>
      </c>
      <c r="K34" s="305"/>
      <c r="L34" s="305"/>
      <c r="P34" s="209"/>
      <c r="Q34" s="305"/>
      <c r="R34" s="305"/>
      <c r="S34" s="305"/>
      <c r="T34" s="209"/>
      <c r="U34" s="305"/>
      <c r="V34" s="305"/>
      <c r="W34" s="305"/>
      <c r="X34" s="209"/>
      <c r="Y34" s="305"/>
      <c r="Z34" s="305"/>
      <c r="AA34" s="305"/>
      <c r="AB34" s="209"/>
      <c r="AC34" s="305"/>
      <c r="AD34" s="305" t="s">
        <v>257</v>
      </c>
      <c r="AE34" s="305" t="s">
        <v>257</v>
      </c>
      <c r="AF34" s="209" t="s">
        <v>257</v>
      </c>
      <c r="AG34" s="305"/>
      <c r="AH34" s="305" t="s">
        <v>257</v>
      </c>
      <c r="AI34" s="305" t="s">
        <v>257</v>
      </c>
      <c r="AJ34" s="209"/>
      <c r="AK34" s="305"/>
      <c r="AL34" s="305"/>
      <c r="AM34" s="305"/>
      <c r="AN34" s="209"/>
      <c r="AO34" s="305" t="s">
        <v>257</v>
      </c>
      <c r="AP34" s="305"/>
      <c r="AQ34" s="305"/>
      <c r="AR34" s="209" t="s">
        <v>257</v>
      </c>
      <c r="AS34" s="305"/>
      <c r="AT34" s="305"/>
      <c r="AU34" s="305"/>
      <c r="AV34" s="305"/>
    </row>
    <row r="35" spans="1:48" ht="11.5">
      <c r="A35" s="304" t="s">
        <v>73</v>
      </c>
      <c r="B35" s="313">
        <v>20317</v>
      </c>
      <c r="C35" s="313">
        <v>18898</v>
      </c>
      <c r="D35" s="313">
        <v>22383</v>
      </c>
      <c r="E35" s="313">
        <v>28540</v>
      </c>
      <c r="F35" s="313">
        <v>29891</v>
      </c>
      <c r="G35" s="313">
        <v>26928</v>
      </c>
      <c r="H35" s="313">
        <v>29320</v>
      </c>
      <c r="I35" s="577">
        <v>38904</v>
      </c>
      <c r="J35" s="313">
        <v>47530</v>
      </c>
      <c r="K35" s="313">
        <v>48914</v>
      </c>
      <c r="L35" s="612"/>
      <c r="M35" s="313">
        <v>5220</v>
      </c>
      <c r="N35" s="313">
        <v>5495</v>
      </c>
      <c r="O35" s="313">
        <v>5406</v>
      </c>
      <c r="P35" s="314">
        <v>6262</v>
      </c>
      <c r="Q35" s="313">
        <v>5943</v>
      </c>
      <c r="R35" s="313">
        <v>7325</v>
      </c>
      <c r="S35" s="313">
        <v>7178</v>
      </c>
      <c r="T35" s="314">
        <v>8094</v>
      </c>
      <c r="U35" s="313">
        <v>7115</v>
      </c>
      <c r="V35" s="313">
        <v>7702</v>
      </c>
      <c r="W35" s="313">
        <v>7334</v>
      </c>
      <c r="X35" s="314">
        <v>7740</v>
      </c>
      <c r="Y35" s="313">
        <v>6579</v>
      </c>
      <c r="Z35" s="313">
        <v>6422</v>
      </c>
      <c r="AA35" s="313">
        <v>6471</v>
      </c>
      <c r="AB35" s="314">
        <v>7456</v>
      </c>
      <c r="AC35" s="313">
        <v>6391</v>
      </c>
      <c r="AD35" s="313">
        <v>7187</v>
      </c>
      <c r="AE35" s="313">
        <v>7242</v>
      </c>
      <c r="AF35" s="314">
        <v>8500</v>
      </c>
      <c r="AG35" s="577">
        <v>8485</v>
      </c>
      <c r="AH35" s="577">
        <v>9060</v>
      </c>
      <c r="AI35" s="577">
        <v>10070</v>
      </c>
      <c r="AJ35" s="579">
        <v>11289</v>
      </c>
      <c r="AK35" s="313">
        <v>10733</v>
      </c>
      <c r="AL35" s="313">
        <v>12510</v>
      </c>
      <c r="AM35" s="313">
        <v>11729</v>
      </c>
      <c r="AN35" s="314">
        <v>12558</v>
      </c>
      <c r="AO35" s="313">
        <v>11212</v>
      </c>
      <c r="AP35" s="313">
        <v>12516</v>
      </c>
      <c r="AQ35" s="313">
        <v>11875</v>
      </c>
      <c r="AR35" s="314">
        <v>13311</v>
      </c>
      <c r="AS35" s="313">
        <v>11704</v>
      </c>
      <c r="AT35" s="313">
        <v>11435</v>
      </c>
      <c r="AU35" s="305"/>
      <c r="AV35" s="305"/>
    </row>
    <row r="36" spans="1:48">
      <c r="A36" s="41" t="s">
        <v>63</v>
      </c>
      <c r="B36" s="305">
        <v>3895</v>
      </c>
      <c r="C36" s="305">
        <v>3745</v>
      </c>
      <c r="D36" s="305">
        <v>4357</v>
      </c>
      <c r="E36" s="305">
        <v>5639</v>
      </c>
      <c r="F36" s="305">
        <v>5844</v>
      </c>
      <c r="G36" s="305">
        <v>5181</v>
      </c>
      <c r="H36" s="305">
        <v>6045</v>
      </c>
      <c r="I36" s="578">
        <v>9681</v>
      </c>
      <c r="J36" s="305">
        <v>11427</v>
      </c>
      <c r="K36" s="305">
        <v>11679</v>
      </c>
      <c r="L36" s="305"/>
      <c r="M36" s="305">
        <v>1126</v>
      </c>
      <c r="N36" s="305">
        <v>958</v>
      </c>
      <c r="O36" s="305">
        <v>1084</v>
      </c>
      <c r="P36" s="209">
        <v>1189</v>
      </c>
      <c r="Q36" s="305">
        <v>1173</v>
      </c>
      <c r="R36" s="305">
        <v>1410</v>
      </c>
      <c r="S36" s="305">
        <v>1412</v>
      </c>
      <c r="T36" s="209">
        <v>1644</v>
      </c>
      <c r="U36" s="305">
        <v>1425</v>
      </c>
      <c r="V36" s="305">
        <v>1580</v>
      </c>
      <c r="W36" s="305">
        <v>1362</v>
      </c>
      <c r="X36" s="209">
        <v>1477</v>
      </c>
      <c r="Y36" s="305">
        <v>1332</v>
      </c>
      <c r="Z36" s="305">
        <v>1261</v>
      </c>
      <c r="AA36" s="305">
        <v>1343</v>
      </c>
      <c r="AB36" s="209">
        <v>1245</v>
      </c>
      <c r="AC36" s="305">
        <v>1233</v>
      </c>
      <c r="AD36" s="305">
        <v>1453</v>
      </c>
      <c r="AE36" s="305">
        <v>1587</v>
      </c>
      <c r="AF36" s="209">
        <v>1772</v>
      </c>
      <c r="AG36" s="578">
        <v>2036</v>
      </c>
      <c r="AH36" s="578">
        <v>2286</v>
      </c>
      <c r="AI36" s="578">
        <v>2603</v>
      </c>
      <c r="AJ36" s="580">
        <v>2756</v>
      </c>
      <c r="AK36" s="305">
        <v>2706</v>
      </c>
      <c r="AL36" s="305">
        <v>2960</v>
      </c>
      <c r="AM36" s="305">
        <v>2803</v>
      </c>
      <c r="AN36" s="209">
        <v>2958</v>
      </c>
      <c r="AO36" s="305">
        <v>2995</v>
      </c>
      <c r="AP36" s="305">
        <v>3006</v>
      </c>
      <c r="AQ36" s="305">
        <v>2694</v>
      </c>
      <c r="AR36" s="209">
        <v>2984</v>
      </c>
      <c r="AS36" s="305">
        <v>2955</v>
      </c>
      <c r="AT36" s="305">
        <v>2810</v>
      </c>
      <c r="AU36" s="305"/>
      <c r="AV36" s="305"/>
    </row>
    <row r="37" spans="1:48">
      <c r="A37" s="41" t="s">
        <v>64</v>
      </c>
      <c r="B37" s="305">
        <v>3183</v>
      </c>
      <c r="C37" s="305">
        <v>2643</v>
      </c>
      <c r="D37" s="305">
        <v>3311</v>
      </c>
      <c r="E37" s="305">
        <v>4175</v>
      </c>
      <c r="F37" s="305">
        <v>5295</v>
      </c>
      <c r="G37" s="305">
        <v>3798</v>
      </c>
      <c r="H37" s="305">
        <v>4321</v>
      </c>
      <c r="I37" s="578">
        <v>5876</v>
      </c>
      <c r="J37" s="305">
        <v>7201</v>
      </c>
      <c r="K37" s="305">
        <v>6838</v>
      </c>
      <c r="L37" s="305"/>
      <c r="M37" s="305">
        <v>827</v>
      </c>
      <c r="N37" s="305">
        <v>880</v>
      </c>
      <c r="O37" s="305">
        <v>745</v>
      </c>
      <c r="P37" s="209">
        <v>859</v>
      </c>
      <c r="Q37" s="305">
        <v>813</v>
      </c>
      <c r="R37" s="305">
        <v>981</v>
      </c>
      <c r="S37" s="305">
        <v>1020</v>
      </c>
      <c r="T37" s="209">
        <v>1361</v>
      </c>
      <c r="U37" s="305">
        <v>1327</v>
      </c>
      <c r="V37" s="305">
        <v>1341</v>
      </c>
      <c r="W37" s="305">
        <v>1356</v>
      </c>
      <c r="X37" s="209">
        <v>1271</v>
      </c>
      <c r="Y37" s="305">
        <v>875</v>
      </c>
      <c r="Z37" s="305">
        <v>1073</v>
      </c>
      <c r="AA37" s="305">
        <v>789</v>
      </c>
      <c r="AB37" s="209">
        <v>1061</v>
      </c>
      <c r="AC37" s="305">
        <v>930</v>
      </c>
      <c r="AD37" s="305">
        <v>1130</v>
      </c>
      <c r="AE37" s="305">
        <v>1111</v>
      </c>
      <c r="AF37" s="209">
        <v>1150</v>
      </c>
      <c r="AG37" s="578">
        <v>1330</v>
      </c>
      <c r="AH37" s="578">
        <v>1353</v>
      </c>
      <c r="AI37" s="578">
        <v>1556</v>
      </c>
      <c r="AJ37" s="580">
        <v>1637</v>
      </c>
      <c r="AK37" s="305">
        <v>1716</v>
      </c>
      <c r="AL37" s="305">
        <v>1772</v>
      </c>
      <c r="AM37" s="305">
        <v>1798</v>
      </c>
      <c r="AN37" s="209">
        <v>1915</v>
      </c>
      <c r="AO37" s="305">
        <v>1473</v>
      </c>
      <c r="AP37" s="305">
        <v>1898</v>
      </c>
      <c r="AQ37" s="305">
        <v>1588</v>
      </c>
      <c r="AR37" s="209">
        <v>1879</v>
      </c>
      <c r="AS37" s="305">
        <v>1705</v>
      </c>
      <c r="AT37" s="305">
        <v>1724</v>
      </c>
      <c r="AU37" s="305"/>
      <c r="AV37" s="305"/>
    </row>
    <row r="38" spans="1:48">
      <c r="A38" s="41" t="s">
        <v>67</v>
      </c>
      <c r="B38" s="305">
        <v>5211</v>
      </c>
      <c r="C38" s="305">
        <v>4937</v>
      </c>
      <c r="D38" s="305">
        <v>6081</v>
      </c>
      <c r="E38" s="305">
        <v>6225</v>
      </c>
      <c r="F38" s="305">
        <v>6522</v>
      </c>
      <c r="G38" s="305">
        <v>6074</v>
      </c>
      <c r="H38" s="305">
        <v>5949</v>
      </c>
      <c r="I38" s="578">
        <v>5687</v>
      </c>
      <c r="J38" s="305">
        <v>6091</v>
      </c>
      <c r="K38" s="305">
        <v>6151</v>
      </c>
      <c r="L38" s="305"/>
      <c r="M38" s="305">
        <v>1323</v>
      </c>
      <c r="N38" s="305">
        <v>1564</v>
      </c>
      <c r="O38" s="305">
        <v>1484</v>
      </c>
      <c r="P38" s="209">
        <v>1710</v>
      </c>
      <c r="Q38" s="305">
        <v>1235</v>
      </c>
      <c r="R38" s="305">
        <v>1696</v>
      </c>
      <c r="S38" s="305">
        <v>1488</v>
      </c>
      <c r="T38" s="209">
        <v>1807</v>
      </c>
      <c r="U38" s="305">
        <v>1674</v>
      </c>
      <c r="V38" s="305">
        <v>1682</v>
      </c>
      <c r="W38" s="305">
        <v>1469</v>
      </c>
      <c r="X38" s="209">
        <v>1697</v>
      </c>
      <c r="Y38" s="305">
        <v>1427</v>
      </c>
      <c r="Z38" s="305">
        <v>1362</v>
      </c>
      <c r="AA38" s="305">
        <v>1472</v>
      </c>
      <c r="AB38" s="209">
        <v>1813</v>
      </c>
      <c r="AC38" s="305">
        <v>1308</v>
      </c>
      <c r="AD38" s="305">
        <v>1456</v>
      </c>
      <c r="AE38" s="305">
        <v>1435</v>
      </c>
      <c r="AF38" s="209">
        <v>1750</v>
      </c>
      <c r="AG38" s="578">
        <v>1506</v>
      </c>
      <c r="AH38" s="578">
        <v>1523</v>
      </c>
      <c r="AI38" s="578">
        <v>1197</v>
      </c>
      <c r="AJ38" s="580">
        <v>1461</v>
      </c>
      <c r="AK38" s="305">
        <v>1463</v>
      </c>
      <c r="AL38" s="305">
        <v>1713</v>
      </c>
      <c r="AM38" s="305">
        <v>1299</v>
      </c>
      <c r="AN38" s="209">
        <v>1616</v>
      </c>
      <c r="AO38" s="305">
        <v>1489</v>
      </c>
      <c r="AP38" s="305">
        <v>1550</v>
      </c>
      <c r="AQ38" s="305">
        <v>1482</v>
      </c>
      <c r="AR38" s="209">
        <v>1630</v>
      </c>
      <c r="AS38" s="305">
        <v>1255</v>
      </c>
      <c r="AT38" s="305">
        <v>1340</v>
      </c>
      <c r="AU38" s="305"/>
      <c r="AV38" s="305"/>
    </row>
    <row r="39" spans="1:48">
      <c r="A39" s="41" t="s">
        <v>65</v>
      </c>
      <c r="B39" s="305">
        <v>3116</v>
      </c>
      <c r="C39" s="305">
        <v>2647</v>
      </c>
      <c r="D39" s="305">
        <v>2638</v>
      </c>
      <c r="E39" s="305">
        <v>3823</v>
      </c>
      <c r="F39" s="305">
        <v>3429</v>
      </c>
      <c r="G39" s="305">
        <v>3427</v>
      </c>
      <c r="H39" s="305">
        <v>3670</v>
      </c>
      <c r="I39" s="578">
        <v>5869</v>
      </c>
      <c r="J39" s="305">
        <v>7712</v>
      </c>
      <c r="K39" s="305">
        <v>8592</v>
      </c>
      <c r="L39" s="305"/>
      <c r="M39" s="305">
        <v>615</v>
      </c>
      <c r="N39" s="305">
        <v>647</v>
      </c>
      <c r="O39" s="305">
        <v>691</v>
      </c>
      <c r="P39" s="209">
        <v>685</v>
      </c>
      <c r="Q39" s="305">
        <v>766</v>
      </c>
      <c r="R39" s="305">
        <v>972</v>
      </c>
      <c r="S39" s="305">
        <v>1054</v>
      </c>
      <c r="T39" s="209">
        <v>1031</v>
      </c>
      <c r="U39" s="305">
        <v>787</v>
      </c>
      <c r="V39" s="305">
        <v>847</v>
      </c>
      <c r="W39" s="305">
        <v>792</v>
      </c>
      <c r="X39" s="209">
        <v>1003</v>
      </c>
      <c r="Y39" s="305">
        <v>923</v>
      </c>
      <c r="Z39" s="305">
        <v>761</v>
      </c>
      <c r="AA39" s="305">
        <v>868</v>
      </c>
      <c r="AB39" s="209">
        <v>875</v>
      </c>
      <c r="AC39" s="305">
        <v>825</v>
      </c>
      <c r="AD39" s="305">
        <v>941</v>
      </c>
      <c r="AE39" s="305">
        <v>896</v>
      </c>
      <c r="AF39" s="209">
        <v>1008</v>
      </c>
      <c r="AG39" s="578">
        <v>1229</v>
      </c>
      <c r="AH39" s="578">
        <v>1427</v>
      </c>
      <c r="AI39" s="578">
        <v>1552</v>
      </c>
      <c r="AJ39" s="580">
        <v>1661</v>
      </c>
      <c r="AK39" s="305">
        <v>1545</v>
      </c>
      <c r="AL39" s="305">
        <v>2219</v>
      </c>
      <c r="AM39" s="305">
        <v>2013</v>
      </c>
      <c r="AN39" s="209">
        <v>1935</v>
      </c>
      <c r="AO39" s="305">
        <v>1718</v>
      </c>
      <c r="AP39" s="305">
        <v>2199</v>
      </c>
      <c r="AQ39" s="305">
        <v>2146</v>
      </c>
      <c r="AR39" s="209">
        <v>2529</v>
      </c>
      <c r="AS39" s="305">
        <v>2012</v>
      </c>
      <c r="AT39" s="305">
        <v>1749</v>
      </c>
      <c r="AU39" s="305"/>
      <c r="AV39" s="305"/>
    </row>
    <row r="40" spans="1:48">
      <c r="A40" s="41" t="s">
        <v>85</v>
      </c>
      <c r="B40" s="305">
        <v>4912</v>
      </c>
      <c r="C40" s="305">
        <v>4926</v>
      </c>
      <c r="D40" s="305">
        <v>5996</v>
      </c>
      <c r="E40" s="305">
        <v>8678</v>
      </c>
      <c r="F40" s="305">
        <v>8801</v>
      </c>
      <c r="G40" s="305">
        <v>8448</v>
      </c>
      <c r="H40" s="305">
        <v>9335</v>
      </c>
      <c r="I40" s="578">
        <v>11791</v>
      </c>
      <c r="J40" s="305">
        <v>15099</v>
      </c>
      <c r="K40" s="305">
        <v>15654</v>
      </c>
      <c r="L40" s="305"/>
      <c r="M40" s="305">
        <v>1329</v>
      </c>
      <c r="N40" s="305">
        <v>1446</v>
      </c>
      <c r="O40" s="305">
        <v>1402</v>
      </c>
      <c r="P40" s="209">
        <v>1819</v>
      </c>
      <c r="Q40" s="305">
        <v>1956</v>
      </c>
      <c r="R40" s="305">
        <v>2266</v>
      </c>
      <c r="S40" s="305">
        <v>2204</v>
      </c>
      <c r="T40" s="209">
        <v>2251</v>
      </c>
      <c r="U40" s="305">
        <v>1902</v>
      </c>
      <c r="V40" s="305">
        <v>2252</v>
      </c>
      <c r="W40" s="305">
        <v>2355</v>
      </c>
      <c r="X40" s="209">
        <v>2292</v>
      </c>
      <c r="Y40" s="305">
        <v>2022</v>
      </c>
      <c r="Z40" s="305">
        <v>1965</v>
      </c>
      <c r="AA40" s="305">
        <v>1999</v>
      </c>
      <c r="AB40" s="209">
        <v>2462</v>
      </c>
      <c r="AC40" s="305">
        <v>2095</v>
      </c>
      <c r="AD40" s="305">
        <v>2207</v>
      </c>
      <c r="AE40" s="305">
        <v>2213</v>
      </c>
      <c r="AF40" s="209">
        <v>2820</v>
      </c>
      <c r="AG40" s="578">
        <v>2384</v>
      </c>
      <c r="AH40" s="578">
        <v>2471</v>
      </c>
      <c r="AI40" s="578">
        <v>3162</v>
      </c>
      <c r="AJ40" s="580">
        <v>3774</v>
      </c>
      <c r="AK40" s="305">
        <v>3303</v>
      </c>
      <c r="AL40" s="305">
        <v>3846</v>
      </c>
      <c r="AM40" s="305">
        <v>3816</v>
      </c>
      <c r="AN40" s="209">
        <v>4134</v>
      </c>
      <c r="AO40" s="305">
        <v>3537</v>
      </c>
      <c r="AP40" s="305">
        <v>3863</v>
      </c>
      <c r="AQ40" s="305">
        <v>3965</v>
      </c>
      <c r="AR40" s="209">
        <v>4289</v>
      </c>
      <c r="AS40" s="305">
        <v>3777</v>
      </c>
      <c r="AT40" s="305">
        <v>3812</v>
      </c>
      <c r="AU40" s="305"/>
      <c r="AV40" s="305"/>
    </row>
    <row r="41" spans="1:48">
      <c r="D41" s="305"/>
      <c r="E41" s="305"/>
      <c r="F41" s="305"/>
      <c r="G41" s="305"/>
      <c r="H41" s="305" t="s">
        <v>257</v>
      </c>
      <c r="I41" s="578" t="s">
        <v>257</v>
      </c>
      <c r="J41" s="305" t="s">
        <v>257</v>
      </c>
      <c r="K41" s="305"/>
      <c r="L41" s="305"/>
      <c r="N41" s="305"/>
      <c r="P41" s="209"/>
      <c r="Q41" s="305"/>
      <c r="R41" s="305"/>
      <c r="S41" s="305"/>
      <c r="T41" s="209"/>
      <c r="U41" s="305"/>
      <c r="V41" s="305"/>
      <c r="W41" s="305"/>
      <c r="X41" s="209"/>
      <c r="Y41" s="305"/>
      <c r="Z41" s="305"/>
      <c r="AA41" s="305"/>
      <c r="AB41" s="209"/>
      <c r="AC41" s="305"/>
      <c r="AD41" s="305" t="s">
        <v>257</v>
      </c>
      <c r="AE41" s="305" t="s">
        <v>257</v>
      </c>
      <c r="AF41" s="209" t="s">
        <v>257</v>
      </c>
      <c r="AG41" s="578" t="s">
        <v>257</v>
      </c>
      <c r="AH41" s="578" t="s">
        <v>257</v>
      </c>
      <c r="AI41" s="578" t="s">
        <v>257</v>
      </c>
      <c r="AJ41" s="580" t="s">
        <v>257</v>
      </c>
      <c r="AK41" s="305"/>
      <c r="AL41" s="305"/>
      <c r="AM41" s="305"/>
      <c r="AN41" s="209"/>
      <c r="AO41" s="305" t="s">
        <v>257</v>
      </c>
      <c r="AP41" s="305"/>
      <c r="AQ41" s="305"/>
      <c r="AR41" s="209" t="s">
        <v>257</v>
      </c>
      <c r="AS41" s="305"/>
      <c r="AT41" s="305"/>
      <c r="AU41" s="305"/>
      <c r="AV41" s="305"/>
    </row>
    <row r="42" spans="1:48" ht="11.5">
      <c r="A42" s="304" t="s">
        <v>71</v>
      </c>
      <c r="B42" s="313">
        <v>8088</v>
      </c>
      <c r="C42" s="313">
        <v>7925</v>
      </c>
      <c r="D42" s="313">
        <v>8738</v>
      </c>
      <c r="E42" s="313">
        <v>9519</v>
      </c>
      <c r="F42" s="313">
        <v>10799</v>
      </c>
      <c r="G42" s="313">
        <v>9025</v>
      </c>
      <c r="H42" s="313">
        <v>10205</v>
      </c>
      <c r="I42" s="577">
        <v>10806</v>
      </c>
      <c r="J42" s="313">
        <v>12723</v>
      </c>
      <c r="K42" s="313">
        <v>14640</v>
      </c>
      <c r="L42" s="612"/>
      <c r="M42" s="313">
        <v>2161</v>
      </c>
      <c r="N42" s="313">
        <v>2297</v>
      </c>
      <c r="O42" s="313">
        <v>2141</v>
      </c>
      <c r="P42" s="314">
        <v>2139</v>
      </c>
      <c r="Q42" s="313">
        <v>2245</v>
      </c>
      <c r="R42" s="313">
        <v>2452</v>
      </c>
      <c r="S42" s="313">
        <v>2382</v>
      </c>
      <c r="T42" s="314">
        <v>2440</v>
      </c>
      <c r="U42" s="313">
        <v>2605</v>
      </c>
      <c r="V42" s="313">
        <v>2926</v>
      </c>
      <c r="W42" s="313">
        <v>2765</v>
      </c>
      <c r="X42" s="314">
        <v>2503</v>
      </c>
      <c r="Y42" s="313">
        <v>2505</v>
      </c>
      <c r="Z42" s="313">
        <v>2035</v>
      </c>
      <c r="AA42" s="313">
        <v>2196</v>
      </c>
      <c r="AB42" s="314">
        <v>2288</v>
      </c>
      <c r="AC42" s="313">
        <v>2345</v>
      </c>
      <c r="AD42" s="313">
        <v>2517</v>
      </c>
      <c r="AE42" s="313">
        <v>2699</v>
      </c>
      <c r="AF42" s="314">
        <v>2644</v>
      </c>
      <c r="AG42" s="577">
        <v>2588</v>
      </c>
      <c r="AH42" s="577">
        <v>2793.5</v>
      </c>
      <c r="AI42" s="577">
        <v>2711</v>
      </c>
      <c r="AJ42" s="579">
        <v>2713</v>
      </c>
      <c r="AK42" s="313">
        <v>3125</v>
      </c>
      <c r="AL42" s="313">
        <v>3418</v>
      </c>
      <c r="AM42" s="313">
        <v>3195</v>
      </c>
      <c r="AN42" s="314">
        <v>2985</v>
      </c>
      <c r="AO42" s="313">
        <v>2949</v>
      </c>
      <c r="AP42" s="313">
        <v>3991</v>
      </c>
      <c r="AQ42" s="313">
        <v>3809</v>
      </c>
      <c r="AR42" s="314">
        <v>3891</v>
      </c>
      <c r="AS42" s="313">
        <v>3811</v>
      </c>
      <c r="AT42" s="313">
        <v>3665</v>
      </c>
      <c r="AU42" s="305"/>
      <c r="AV42" s="305"/>
    </row>
    <row r="43" spans="1:48">
      <c r="A43" s="41" t="s">
        <v>63</v>
      </c>
      <c r="B43" s="305">
        <v>2142</v>
      </c>
      <c r="C43" s="305">
        <v>2218</v>
      </c>
      <c r="D43" s="305">
        <v>2513</v>
      </c>
      <c r="E43" s="305">
        <v>2725</v>
      </c>
      <c r="F43" s="305">
        <v>3060</v>
      </c>
      <c r="G43" s="305">
        <v>2475</v>
      </c>
      <c r="H43" s="305">
        <v>2752</v>
      </c>
      <c r="I43" s="578">
        <v>3186</v>
      </c>
      <c r="J43" s="305">
        <v>3968</v>
      </c>
      <c r="K43" s="305">
        <v>6040</v>
      </c>
      <c r="L43" s="305"/>
      <c r="M43" s="305">
        <v>649</v>
      </c>
      <c r="N43" s="305">
        <v>683</v>
      </c>
      <c r="O43" s="305">
        <v>635</v>
      </c>
      <c r="P43" s="209">
        <v>546</v>
      </c>
      <c r="Q43" s="305">
        <v>700</v>
      </c>
      <c r="R43" s="305">
        <v>681</v>
      </c>
      <c r="S43" s="305">
        <v>703</v>
      </c>
      <c r="T43" s="209">
        <v>641</v>
      </c>
      <c r="U43" s="305">
        <v>773</v>
      </c>
      <c r="V43" s="305">
        <v>848</v>
      </c>
      <c r="W43" s="305">
        <v>802</v>
      </c>
      <c r="X43" s="209">
        <v>637</v>
      </c>
      <c r="Y43" s="305">
        <v>735</v>
      </c>
      <c r="Z43" s="305">
        <v>575</v>
      </c>
      <c r="AA43" s="305">
        <v>588</v>
      </c>
      <c r="AB43" s="209">
        <v>577</v>
      </c>
      <c r="AC43" s="305">
        <v>659</v>
      </c>
      <c r="AD43" s="305">
        <v>693</v>
      </c>
      <c r="AE43" s="305">
        <v>731</v>
      </c>
      <c r="AF43" s="209">
        <v>669</v>
      </c>
      <c r="AG43" s="578">
        <v>710</v>
      </c>
      <c r="AH43" s="578">
        <v>844</v>
      </c>
      <c r="AI43" s="578">
        <v>827</v>
      </c>
      <c r="AJ43" s="580">
        <v>805</v>
      </c>
      <c r="AK43" s="305">
        <v>1056</v>
      </c>
      <c r="AL43" s="305">
        <v>1028</v>
      </c>
      <c r="AM43" s="305">
        <v>956</v>
      </c>
      <c r="AN43" s="209">
        <v>928</v>
      </c>
      <c r="AO43" s="305">
        <v>924</v>
      </c>
      <c r="AP43" s="305">
        <v>1847</v>
      </c>
      <c r="AQ43" s="305">
        <v>1650</v>
      </c>
      <c r="AR43" s="209">
        <v>1619</v>
      </c>
      <c r="AS43" s="305">
        <v>1754</v>
      </c>
      <c r="AT43" s="305">
        <v>1636</v>
      </c>
      <c r="AU43" s="305"/>
      <c r="AV43" s="305"/>
    </row>
    <row r="44" spans="1:48">
      <c r="A44" s="41" t="s">
        <v>64</v>
      </c>
      <c r="B44" s="305">
        <v>752</v>
      </c>
      <c r="C44" s="305">
        <v>708</v>
      </c>
      <c r="D44" s="305">
        <v>782</v>
      </c>
      <c r="E44" s="305">
        <v>851</v>
      </c>
      <c r="F44" s="305">
        <v>1084</v>
      </c>
      <c r="G44" s="305">
        <v>838</v>
      </c>
      <c r="H44" s="305">
        <v>977</v>
      </c>
      <c r="I44" s="578">
        <v>970</v>
      </c>
      <c r="J44" s="305">
        <v>1270</v>
      </c>
      <c r="K44" s="305">
        <v>922</v>
      </c>
      <c r="L44" s="305"/>
      <c r="M44" s="305">
        <v>189</v>
      </c>
      <c r="N44" s="305">
        <v>184</v>
      </c>
      <c r="O44" s="305">
        <v>196</v>
      </c>
      <c r="P44" s="209">
        <v>213</v>
      </c>
      <c r="Q44" s="305">
        <v>211</v>
      </c>
      <c r="R44" s="305">
        <v>218</v>
      </c>
      <c r="S44" s="305">
        <v>210</v>
      </c>
      <c r="T44" s="209">
        <v>212</v>
      </c>
      <c r="U44" s="305">
        <v>244</v>
      </c>
      <c r="V44" s="305">
        <v>276</v>
      </c>
      <c r="W44" s="305">
        <v>290</v>
      </c>
      <c r="X44" s="209">
        <v>274</v>
      </c>
      <c r="Y44" s="305">
        <v>241</v>
      </c>
      <c r="Z44" s="305">
        <v>177</v>
      </c>
      <c r="AA44" s="305">
        <v>205</v>
      </c>
      <c r="AB44" s="209">
        <v>214</v>
      </c>
      <c r="AC44" s="305">
        <v>227</v>
      </c>
      <c r="AD44" s="305">
        <v>248</v>
      </c>
      <c r="AE44" s="305">
        <v>256</v>
      </c>
      <c r="AF44" s="209">
        <v>246</v>
      </c>
      <c r="AG44" s="578">
        <v>235</v>
      </c>
      <c r="AH44" s="578">
        <v>243</v>
      </c>
      <c r="AI44" s="578">
        <v>254</v>
      </c>
      <c r="AJ44" s="580">
        <v>238</v>
      </c>
      <c r="AK44" s="305">
        <v>269</v>
      </c>
      <c r="AL44" s="305">
        <v>344</v>
      </c>
      <c r="AM44" s="305">
        <v>396</v>
      </c>
      <c r="AN44" s="209">
        <v>261</v>
      </c>
      <c r="AO44" s="305">
        <v>264</v>
      </c>
      <c r="AP44" s="305">
        <v>223</v>
      </c>
      <c r="AQ44" s="305">
        <v>221</v>
      </c>
      <c r="AR44" s="209">
        <v>214</v>
      </c>
      <c r="AS44" s="305">
        <v>214</v>
      </c>
      <c r="AT44" s="305">
        <v>208</v>
      </c>
      <c r="AU44" s="305"/>
      <c r="AV44" s="305"/>
    </row>
    <row r="45" spans="1:48">
      <c r="A45" s="41" t="s">
        <v>67</v>
      </c>
      <c r="B45" s="305">
        <v>2488</v>
      </c>
      <c r="C45" s="305">
        <v>2347</v>
      </c>
      <c r="D45" s="305">
        <v>2593</v>
      </c>
      <c r="E45" s="305">
        <v>2783</v>
      </c>
      <c r="F45" s="305">
        <v>2837</v>
      </c>
      <c r="G45" s="305">
        <v>2594</v>
      </c>
      <c r="H45" s="305">
        <v>2819</v>
      </c>
      <c r="I45" s="578">
        <v>2612</v>
      </c>
      <c r="J45" s="305">
        <v>2492</v>
      </c>
      <c r="K45" s="305">
        <v>2592</v>
      </c>
      <c r="L45" s="305"/>
      <c r="M45" s="305">
        <v>638</v>
      </c>
      <c r="N45" s="305">
        <v>694</v>
      </c>
      <c r="O45" s="305">
        <v>641</v>
      </c>
      <c r="P45" s="209">
        <v>620</v>
      </c>
      <c r="Q45" s="305">
        <v>607</v>
      </c>
      <c r="R45" s="305">
        <v>750</v>
      </c>
      <c r="S45" s="305">
        <v>688</v>
      </c>
      <c r="T45" s="209">
        <v>738</v>
      </c>
      <c r="U45" s="305">
        <v>733</v>
      </c>
      <c r="V45" s="305">
        <v>777</v>
      </c>
      <c r="W45" s="305">
        <v>669</v>
      </c>
      <c r="X45" s="209">
        <v>658</v>
      </c>
      <c r="Y45" s="305">
        <v>703</v>
      </c>
      <c r="Z45" s="305">
        <v>614</v>
      </c>
      <c r="AA45" s="305">
        <v>611</v>
      </c>
      <c r="AB45" s="209">
        <v>666</v>
      </c>
      <c r="AC45" s="305">
        <v>672</v>
      </c>
      <c r="AD45" s="305">
        <v>705</v>
      </c>
      <c r="AE45" s="305">
        <v>723</v>
      </c>
      <c r="AF45" s="209">
        <v>719</v>
      </c>
      <c r="AG45" s="578">
        <v>674</v>
      </c>
      <c r="AH45" s="578">
        <v>652</v>
      </c>
      <c r="AI45" s="578">
        <v>622</v>
      </c>
      <c r="AJ45" s="580">
        <v>664</v>
      </c>
      <c r="AK45" s="305">
        <v>681</v>
      </c>
      <c r="AL45" s="305">
        <v>701</v>
      </c>
      <c r="AM45" s="305">
        <v>539</v>
      </c>
      <c r="AN45" s="209">
        <v>571</v>
      </c>
      <c r="AO45" s="305">
        <v>557</v>
      </c>
      <c r="AP45" s="305">
        <v>702</v>
      </c>
      <c r="AQ45" s="305">
        <v>593</v>
      </c>
      <c r="AR45" s="209">
        <v>740</v>
      </c>
      <c r="AS45" s="305">
        <v>666</v>
      </c>
      <c r="AT45" s="305">
        <v>688</v>
      </c>
      <c r="AU45" s="305"/>
      <c r="AV45" s="305"/>
    </row>
    <row r="46" spans="1:48">
      <c r="A46" s="41" t="s">
        <v>65</v>
      </c>
      <c r="B46" s="305">
        <v>1389</v>
      </c>
      <c r="C46" s="305">
        <v>1269</v>
      </c>
      <c r="D46" s="305">
        <v>1297</v>
      </c>
      <c r="E46" s="305">
        <v>1530</v>
      </c>
      <c r="F46" s="305">
        <v>2004</v>
      </c>
      <c r="G46" s="305">
        <v>1594</v>
      </c>
      <c r="H46" s="305">
        <v>1822</v>
      </c>
      <c r="I46" s="578">
        <v>1891</v>
      </c>
      <c r="J46" s="305">
        <v>2188</v>
      </c>
      <c r="K46" s="305">
        <v>2240</v>
      </c>
      <c r="L46" s="305"/>
      <c r="M46" s="305">
        <v>319</v>
      </c>
      <c r="N46" s="305">
        <v>324</v>
      </c>
      <c r="O46" s="305">
        <v>320</v>
      </c>
      <c r="P46" s="209">
        <v>334</v>
      </c>
      <c r="Q46" s="305">
        <v>337</v>
      </c>
      <c r="R46" s="305">
        <v>378</v>
      </c>
      <c r="S46" s="305">
        <v>390</v>
      </c>
      <c r="T46" s="209">
        <v>425</v>
      </c>
      <c r="U46" s="305">
        <v>395</v>
      </c>
      <c r="V46" s="305">
        <v>549</v>
      </c>
      <c r="W46" s="305">
        <v>559</v>
      </c>
      <c r="X46" s="209">
        <v>501</v>
      </c>
      <c r="Y46" s="305">
        <v>446</v>
      </c>
      <c r="Z46" s="305">
        <v>302</v>
      </c>
      <c r="AA46" s="305">
        <v>415</v>
      </c>
      <c r="AB46" s="209">
        <v>431</v>
      </c>
      <c r="AC46" s="305">
        <v>384</v>
      </c>
      <c r="AD46" s="305">
        <v>465</v>
      </c>
      <c r="AE46" s="305">
        <v>510</v>
      </c>
      <c r="AF46" s="209">
        <v>463</v>
      </c>
      <c r="AG46" s="578">
        <v>454</v>
      </c>
      <c r="AH46" s="578">
        <v>475</v>
      </c>
      <c r="AI46" s="578">
        <v>494</v>
      </c>
      <c r="AJ46" s="580">
        <v>468</v>
      </c>
      <c r="AK46" s="305">
        <v>504</v>
      </c>
      <c r="AL46" s="305">
        <v>566</v>
      </c>
      <c r="AM46" s="305">
        <v>597</v>
      </c>
      <c r="AN46" s="209">
        <v>521</v>
      </c>
      <c r="AO46" s="305">
        <v>536</v>
      </c>
      <c r="AP46" s="305">
        <v>526</v>
      </c>
      <c r="AQ46" s="305">
        <v>613</v>
      </c>
      <c r="AR46" s="209">
        <v>565</v>
      </c>
      <c r="AS46" s="305">
        <v>515</v>
      </c>
      <c r="AT46" s="305">
        <v>499</v>
      </c>
      <c r="AU46" s="305"/>
      <c r="AV46" s="305"/>
    </row>
    <row r="47" spans="1:48">
      <c r="A47" s="41" t="s">
        <v>85</v>
      </c>
      <c r="B47" s="305">
        <v>1316</v>
      </c>
      <c r="C47" s="305">
        <v>1383</v>
      </c>
      <c r="D47" s="305">
        <v>1553</v>
      </c>
      <c r="E47" s="305">
        <v>1630</v>
      </c>
      <c r="F47" s="305">
        <v>1814</v>
      </c>
      <c r="G47" s="305">
        <v>1524</v>
      </c>
      <c r="H47" s="305">
        <v>1835</v>
      </c>
      <c r="I47" s="578">
        <v>2147</v>
      </c>
      <c r="J47" s="305">
        <v>2805</v>
      </c>
      <c r="K47" s="305">
        <v>2846</v>
      </c>
      <c r="L47" s="305"/>
      <c r="M47" s="305">
        <v>366</v>
      </c>
      <c r="N47" s="305">
        <v>412</v>
      </c>
      <c r="O47" s="305">
        <v>349</v>
      </c>
      <c r="P47" s="209">
        <v>426</v>
      </c>
      <c r="Q47" s="305">
        <v>390</v>
      </c>
      <c r="R47" s="305">
        <v>425</v>
      </c>
      <c r="S47" s="305">
        <v>391</v>
      </c>
      <c r="T47" s="209">
        <v>424</v>
      </c>
      <c r="U47" s="305">
        <v>460</v>
      </c>
      <c r="V47" s="305">
        <v>476</v>
      </c>
      <c r="W47" s="305">
        <v>445</v>
      </c>
      <c r="X47" s="209">
        <v>433</v>
      </c>
      <c r="Y47" s="305">
        <v>380</v>
      </c>
      <c r="Z47" s="305">
        <v>367</v>
      </c>
      <c r="AA47" s="305">
        <v>377</v>
      </c>
      <c r="AB47" s="209">
        <v>400</v>
      </c>
      <c r="AC47" s="305">
        <v>403</v>
      </c>
      <c r="AD47" s="305">
        <v>406</v>
      </c>
      <c r="AE47" s="305">
        <v>479</v>
      </c>
      <c r="AF47" s="209">
        <v>547</v>
      </c>
      <c r="AG47" s="578">
        <v>515</v>
      </c>
      <c r="AH47" s="578">
        <v>580</v>
      </c>
      <c r="AI47" s="578">
        <v>514</v>
      </c>
      <c r="AJ47" s="580">
        <v>538</v>
      </c>
      <c r="AK47" s="305">
        <v>615</v>
      </c>
      <c r="AL47" s="305">
        <v>779</v>
      </c>
      <c r="AM47" s="305">
        <v>707</v>
      </c>
      <c r="AN47" s="209">
        <v>704</v>
      </c>
      <c r="AO47" s="305">
        <v>668</v>
      </c>
      <c r="AP47" s="305">
        <v>693</v>
      </c>
      <c r="AQ47" s="305">
        <v>732</v>
      </c>
      <c r="AR47" s="209">
        <v>753</v>
      </c>
      <c r="AS47" s="305">
        <v>662</v>
      </c>
      <c r="AT47" s="305">
        <v>634</v>
      </c>
      <c r="AU47" s="305"/>
      <c r="AV47" s="305"/>
    </row>
    <row r="48" spans="1:48">
      <c r="L48" s="305"/>
      <c r="P48" s="133"/>
      <c r="T48" s="133"/>
      <c r="X48" s="133"/>
      <c r="AB48" s="133"/>
      <c r="AF48" s="133"/>
      <c r="AJ48" s="133"/>
      <c r="AN48" s="133"/>
      <c r="AR48" s="133"/>
      <c r="AU48" s="305"/>
    </row>
    <row r="49" spans="1:46" s="64" customFormat="1" ht="11.5">
      <c r="A49" s="591" t="s">
        <v>777</v>
      </c>
      <c r="B49" s="248">
        <v>2015</v>
      </c>
      <c r="C49" s="248">
        <v>2016</v>
      </c>
      <c r="D49" s="248">
        <v>2017</v>
      </c>
      <c r="E49" s="248">
        <v>2018</v>
      </c>
      <c r="F49" s="248">
        <v>2019</v>
      </c>
      <c r="G49" s="248">
        <v>2020</v>
      </c>
      <c r="H49" s="248">
        <v>2021</v>
      </c>
      <c r="I49" s="248">
        <v>2022</v>
      </c>
      <c r="J49" s="248">
        <v>2023</v>
      </c>
      <c r="K49" s="248">
        <v>2024</v>
      </c>
      <c r="L49" s="42"/>
      <c r="M49" s="248" t="s">
        <v>769</v>
      </c>
      <c r="N49" s="248" t="s">
        <v>770</v>
      </c>
      <c r="O49" s="248" t="s">
        <v>771</v>
      </c>
      <c r="P49" s="249" t="s">
        <v>772</v>
      </c>
      <c r="Q49" s="248" t="s">
        <v>764</v>
      </c>
      <c r="R49" s="248" t="s">
        <v>765</v>
      </c>
      <c r="S49" s="248" t="s">
        <v>766</v>
      </c>
      <c r="T49" s="249" t="s">
        <v>767</v>
      </c>
      <c r="U49" s="248" t="s">
        <v>768</v>
      </c>
      <c r="V49" s="248" t="s">
        <v>730</v>
      </c>
      <c r="W49" s="248" t="s">
        <v>731</v>
      </c>
      <c r="X49" s="249" t="s">
        <v>732</v>
      </c>
      <c r="Y49" s="248" t="s">
        <v>733</v>
      </c>
      <c r="Z49" s="248" t="s">
        <v>626</v>
      </c>
      <c r="AA49" s="248" t="s">
        <v>620</v>
      </c>
      <c r="AB49" s="249" t="s">
        <v>619</v>
      </c>
      <c r="AC49" s="248" t="s">
        <v>614</v>
      </c>
      <c r="AD49" s="248" t="s">
        <v>604</v>
      </c>
      <c r="AE49" s="248" t="s">
        <v>589</v>
      </c>
      <c r="AF49" s="249" t="s">
        <v>587</v>
      </c>
      <c r="AG49" s="248" t="s">
        <v>504</v>
      </c>
      <c r="AH49" s="248" t="s">
        <v>551</v>
      </c>
      <c r="AI49" s="248" t="s">
        <v>532</v>
      </c>
      <c r="AJ49" s="249" t="s">
        <v>530</v>
      </c>
      <c r="AK49" s="248" t="s">
        <v>803</v>
      </c>
      <c r="AL49" s="248" t="s">
        <v>812</v>
      </c>
      <c r="AM49" s="248" t="s">
        <v>816</v>
      </c>
      <c r="AN49" s="249" t="s">
        <v>835</v>
      </c>
      <c r="AO49" s="248" t="s">
        <v>872</v>
      </c>
      <c r="AP49" s="248" t="s">
        <v>986</v>
      </c>
      <c r="AQ49" s="248" t="s">
        <v>1016</v>
      </c>
      <c r="AR49" s="249" t="s">
        <v>1039</v>
      </c>
      <c r="AS49" s="248" t="s">
        <v>1076</v>
      </c>
      <c r="AT49" s="248" t="s">
        <v>1285</v>
      </c>
    </row>
    <row r="50" spans="1:46" ht="11.5">
      <c r="A50" s="304" t="s">
        <v>62</v>
      </c>
      <c r="B50" s="313">
        <v>28662.561317075</v>
      </c>
      <c r="C50" s="313">
        <v>27102</v>
      </c>
      <c r="D50" s="313">
        <v>31364</v>
      </c>
      <c r="E50" s="313">
        <v>38285</v>
      </c>
      <c r="F50" s="313">
        <v>40849</v>
      </c>
      <c r="G50" s="313">
        <v>36122</v>
      </c>
      <c r="H50" s="313">
        <v>39645</v>
      </c>
      <c r="I50" s="313">
        <v>49694</v>
      </c>
      <c r="J50" s="313">
        <f>+J28</f>
        <v>60343</v>
      </c>
      <c r="K50" s="313">
        <f>+K28</f>
        <v>63604</v>
      </c>
      <c r="L50" s="128"/>
      <c r="M50" s="313">
        <v>7411</v>
      </c>
      <c r="N50" s="313">
        <v>7879</v>
      </c>
      <c r="O50" s="313">
        <v>7610</v>
      </c>
      <c r="P50" s="313">
        <v>8464</v>
      </c>
      <c r="Q50" s="315">
        <v>8233</v>
      </c>
      <c r="R50" s="313">
        <v>9843</v>
      </c>
      <c r="S50" s="313">
        <v>9651</v>
      </c>
      <c r="T50" s="313">
        <v>10558</v>
      </c>
      <c r="U50" s="315">
        <v>9785</v>
      </c>
      <c r="V50" s="313">
        <v>10626</v>
      </c>
      <c r="W50" s="313">
        <v>10158</v>
      </c>
      <c r="X50" s="314">
        <v>10280</v>
      </c>
      <c r="Y50" s="313">
        <v>9134</v>
      </c>
      <c r="Z50" s="313">
        <v>8458</v>
      </c>
      <c r="AA50" s="313">
        <v>8724</v>
      </c>
      <c r="AB50" s="314">
        <v>9806</v>
      </c>
      <c r="AC50" s="313">
        <v>8773</v>
      </c>
      <c r="AD50" s="313">
        <v>9733</v>
      </c>
      <c r="AE50" s="313">
        <v>9966</v>
      </c>
      <c r="AF50" s="314">
        <v>11173</v>
      </c>
      <c r="AG50" s="313">
        <f>+AG28</f>
        <v>11088</v>
      </c>
      <c r="AH50" s="313">
        <f>+AH28</f>
        <v>11868</v>
      </c>
      <c r="AI50" s="313">
        <f>+AI28</f>
        <v>12802</v>
      </c>
      <c r="AJ50" s="314">
        <v>13936</v>
      </c>
      <c r="AK50" s="313">
        <f>+AK28</f>
        <v>13868</v>
      </c>
      <c r="AL50" s="313">
        <f t="shared" ref="AL50:AS50" si="0">+AL28</f>
        <v>15910</v>
      </c>
      <c r="AM50" s="313">
        <f t="shared" si="0"/>
        <v>14997</v>
      </c>
      <c r="AN50" s="314">
        <f t="shared" si="0"/>
        <v>15568</v>
      </c>
      <c r="AO50" s="313">
        <f t="shared" si="0"/>
        <v>14143</v>
      </c>
      <c r="AP50" s="313">
        <f t="shared" si="0"/>
        <v>16511</v>
      </c>
      <c r="AQ50" s="313">
        <f t="shared" si="0"/>
        <v>15699</v>
      </c>
      <c r="AR50" s="314">
        <f t="shared" si="0"/>
        <v>17251</v>
      </c>
      <c r="AS50" s="313">
        <f t="shared" si="0"/>
        <v>15536</v>
      </c>
      <c r="AT50" s="313">
        <f>+AT28</f>
        <v>15130</v>
      </c>
    </row>
    <row r="51" spans="1:46">
      <c r="A51" s="41" t="s">
        <v>63</v>
      </c>
      <c r="B51" s="307">
        <v>0.23452635212927803</v>
      </c>
      <c r="C51" s="307">
        <v>0.23042579883403438</v>
      </c>
      <c r="D51" s="307">
        <v>0.22752199974493048</v>
      </c>
      <c r="E51" s="307">
        <v>0.22063471333420401</v>
      </c>
      <c r="F51" s="307">
        <v>0.21885480672721486</v>
      </c>
      <c r="G51" s="307">
        <v>0.21402469409224295</v>
      </c>
      <c r="H51" s="307">
        <f t="shared" ref="H51:I55" si="1">+H29/H$28</f>
        <v>0.22338251986379115</v>
      </c>
      <c r="I51" s="307">
        <f t="shared" si="1"/>
        <v>0.25785809152010303</v>
      </c>
      <c r="J51" s="307">
        <f t="shared" ref="J51:K55" si="2">+J29/J$28</f>
        <v>0.25567174320136554</v>
      </c>
      <c r="K51" s="307">
        <f t="shared" si="2"/>
        <v>0.27977800138356079</v>
      </c>
      <c r="M51" s="307">
        <v>0.24369180947240587</v>
      </c>
      <c r="N51" s="307">
        <v>0.21855565427084656</v>
      </c>
      <c r="O51" s="307">
        <v>0.23455978975032851</v>
      </c>
      <c r="P51" s="307">
        <v>0.21538279773156899</v>
      </c>
      <c r="Q51" s="308">
        <v>0.22932102514271832</v>
      </c>
      <c r="R51" s="307">
        <v>0.21517829929899421</v>
      </c>
      <c r="S51" s="307">
        <v>0.22184229613511552</v>
      </c>
      <c r="T51" s="307">
        <v>0.21784428869103997</v>
      </c>
      <c r="U51" s="308">
        <v>0.22759325498211549</v>
      </c>
      <c r="V51" s="307">
        <v>0.22614342179559571</v>
      </c>
      <c r="W51" s="307">
        <v>0.21569206536719826</v>
      </c>
      <c r="X51" s="309">
        <v>0.20612840466926069</v>
      </c>
      <c r="Y51" s="307">
        <v>0.22980074447120649</v>
      </c>
      <c r="Z51" s="307">
        <v>0.21766375029557816</v>
      </c>
      <c r="AA51" s="307">
        <v>0.23</v>
      </c>
      <c r="AB51" s="309">
        <v>0.18651845808688558</v>
      </c>
      <c r="AC51" s="307">
        <v>0.218</v>
      </c>
      <c r="AD51" s="307">
        <v>0.22171992191513407</v>
      </c>
      <c r="AE51" s="307">
        <v>0.23339353802929963</v>
      </c>
      <c r="AF51" s="309">
        <v>0.21990512843461918</v>
      </c>
      <c r="AG51" s="307">
        <f>AG29/$AG$28</f>
        <v>0.24954906204906205</v>
      </c>
      <c r="AH51" s="307">
        <f>AH29/$AH$28</f>
        <v>0.26449275362318841</v>
      </c>
      <c r="AI51" s="307">
        <f>AI29/$AI$28</f>
        <v>0.26816122480862364</v>
      </c>
      <c r="AJ51" s="309">
        <f>AJ29/$AJ$28</f>
        <v>0.24935419058553387</v>
      </c>
      <c r="AK51" s="307">
        <f>AK29/AK$28</f>
        <v>0.27105566772425727</v>
      </c>
      <c r="AL51" s="307">
        <f t="shared" ref="AL51:AR51" si="3">AL29/AL$28</f>
        <v>0.24852294154619736</v>
      </c>
      <c r="AM51" s="307">
        <f t="shared" si="3"/>
        <v>0.25451757018070281</v>
      </c>
      <c r="AN51" s="309">
        <f t="shared" si="3"/>
        <v>0.25038540596094555</v>
      </c>
      <c r="AO51" s="307">
        <f t="shared" si="3"/>
        <v>0.27766386198119208</v>
      </c>
      <c r="AP51" s="307">
        <f t="shared" si="3"/>
        <v>0.29434922173096723</v>
      </c>
      <c r="AQ51" s="307">
        <f t="shared" si="3"/>
        <v>0.27696031594369069</v>
      </c>
      <c r="AR51" s="309">
        <f t="shared" si="3"/>
        <v>0.27012926786852937</v>
      </c>
      <c r="AS51" s="307">
        <f>AS29/AS$28</f>
        <v>0.30374613800205974</v>
      </c>
      <c r="AT51" s="307">
        <f>AT29/AT$28</f>
        <v>0.29543952412425645</v>
      </c>
    </row>
    <row r="52" spans="1:46">
      <c r="A52" s="41" t="s">
        <v>64</v>
      </c>
      <c r="B52" s="307">
        <v>0.14428818786433173</v>
      </c>
      <c r="C52" s="307">
        <v>0.13050697365508079</v>
      </c>
      <c r="D52" s="307">
        <v>0.13633465119244995</v>
      </c>
      <c r="E52" s="307">
        <v>0.13127856863001175</v>
      </c>
      <c r="F52" s="307">
        <v>0.15618497392837033</v>
      </c>
      <c r="G52" s="307">
        <v>0.12834283815957034</v>
      </c>
      <c r="H52" s="307">
        <f t="shared" si="1"/>
        <v>0.13361079581283894</v>
      </c>
      <c r="I52" s="307">
        <f t="shared" si="1"/>
        <v>0.13774298708093533</v>
      </c>
      <c r="J52" s="307">
        <f t="shared" si="2"/>
        <v>0.14038082296206686</v>
      </c>
      <c r="K52" s="307">
        <f t="shared" si="2"/>
        <v>0.12200490535186466</v>
      </c>
      <c r="M52" s="307">
        <v>0.14842801241397921</v>
      </c>
      <c r="N52" s="307">
        <v>0.140119304480264</v>
      </c>
      <c r="O52" s="307">
        <v>0.12733245729303547</v>
      </c>
      <c r="P52" s="307">
        <v>0.13031663516068054</v>
      </c>
      <c r="Q52" s="308">
        <v>0.12437750516215232</v>
      </c>
      <c r="R52" s="307">
        <v>0.12181245555216906</v>
      </c>
      <c r="S52" s="307">
        <v>0.12744793285669878</v>
      </c>
      <c r="T52" s="307">
        <v>0.14898655048304604</v>
      </c>
      <c r="U52" s="308">
        <v>0.16055186509964231</v>
      </c>
      <c r="V52" s="307">
        <v>0.15207980425371731</v>
      </c>
      <c r="W52" s="307">
        <v>0.16203977160858438</v>
      </c>
      <c r="X52" s="309">
        <v>0.15048638132295719</v>
      </c>
      <c r="Y52" s="307">
        <v>0.12218086271075104</v>
      </c>
      <c r="Z52" s="307">
        <v>0.14790730669188934</v>
      </c>
      <c r="AA52" s="307">
        <v>0.11393856029344337</v>
      </c>
      <c r="AB52" s="377">
        <v>0.13002243524372833</v>
      </c>
      <c r="AC52" s="307">
        <v>0.13170000000000001</v>
      </c>
      <c r="AD52" s="307">
        <v>0.14158019110243503</v>
      </c>
      <c r="AE52" s="307">
        <v>0.13726670680313063</v>
      </c>
      <c r="AF52" s="377">
        <v>0.12485456010024165</v>
      </c>
      <c r="AG52" s="307">
        <f t="shared" ref="AG52:AG55" si="4">AG30/$AG$28</f>
        <v>0.14114357864357865</v>
      </c>
      <c r="AH52" s="307">
        <f t="shared" ref="AH52:AH55" si="5">AH30/$AH$28</f>
        <v>0.13456353218739467</v>
      </c>
      <c r="AI52" s="307">
        <f t="shared" ref="AI52:AI55" si="6">AI30/$AI$28</f>
        <v>0.14138415872519919</v>
      </c>
      <c r="AJ52" s="309">
        <f t="shared" ref="AJ52:AJ55" si="7">AJ30/$AJ$28</f>
        <v>0.13440011481056258</v>
      </c>
      <c r="AK52" s="307">
        <f t="shared" ref="AK52:AR55" si="8">AK30/AK$28</f>
        <v>0.14313527545428323</v>
      </c>
      <c r="AL52" s="307">
        <f t="shared" si="8"/>
        <v>0.13299811439346323</v>
      </c>
      <c r="AM52" s="307">
        <f t="shared" si="8"/>
        <v>0.14629592585183704</v>
      </c>
      <c r="AN52" s="309">
        <f t="shared" si="8"/>
        <v>0.13977389516957861</v>
      </c>
      <c r="AO52" s="307">
        <f t="shared" si="8"/>
        <v>0.12281694124301774</v>
      </c>
      <c r="AP52" s="307">
        <f t="shared" si="8"/>
        <v>0.12852038035249227</v>
      </c>
      <c r="AQ52" s="307">
        <f t="shared" si="8"/>
        <v>0.11523026944391362</v>
      </c>
      <c r="AR52" s="309">
        <f t="shared" si="8"/>
        <v>0.12126833227059301</v>
      </c>
      <c r="AS52" s="307">
        <f>AS30/AS$28</f>
        <v>0.12351956745623069</v>
      </c>
      <c r="AT52" s="307">
        <f>AT30/AT$28</f>
        <v>0.12769332452081955</v>
      </c>
    </row>
    <row r="53" spans="1:46">
      <c r="A53" s="41" t="s">
        <v>67</v>
      </c>
      <c r="B53" s="307">
        <v>0.23112708025883139</v>
      </c>
      <c r="C53" s="307">
        <v>0.25440926868865765</v>
      </c>
      <c r="D53" s="307">
        <v>0.25481443693406453</v>
      </c>
      <c r="E53" s="307">
        <v>0.2377954812589787</v>
      </c>
      <c r="F53" s="307">
        <v>0.23087468481480575</v>
      </c>
      <c r="G53" s="307">
        <v>0.24024140413044681</v>
      </c>
      <c r="H53" s="307">
        <f t="shared" si="1"/>
        <v>0.22239878925463488</v>
      </c>
      <c r="I53" s="307">
        <f t="shared" si="1"/>
        <v>0.16756550086529562</v>
      </c>
      <c r="J53" s="307">
        <f t="shared" si="2"/>
        <v>0.14294947218401471</v>
      </c>
      <c r="K53" s="307">
        <f t="shared" si="2"/>
        <v>0.13708257342305516</v>
      </c>
      <c r="M53" s="307">
        <v>0.23721495074888679</v>
      </c>
      <c r="N53" s="307">
        <v>0.26767356263485215</v>
      </c>
      <c r="O53" s="307">
        <v>0.25978975032851509</v>
      </c>
      <c r="P53" s="307">
        <v>0.25378071833648391</v>
      </c>
      <c r="Q53" s="308">
        <v>0.22640592736548038</v>
      </c>
      <c r="R53" s="307">
        <v>0.25104134918215992</v>
      </c>
      <c r="S53" s="307">
        <v>0.23044244119780333</v>
      </c>
      <c r="T53" s="307">
        <v>0.24104944118204205</v>
      </c>
      <c r="U53" s="308">
        <v>0.24854368932038834</v>
      </c>
      <c r="V53" s="307">
        <v>0.23273103707886317</v>
      </c>
      <c r="W53" s="307">
        <v>0.21204961606615474</v>
      </c>
      <c r="X53" s="309">
        <v>0.23073929961089495</v>
      </c>
      <c r="Y53" s="307">
        <v>0.23341361944383621</v>
      </c>
      <c r="Z53" s="307">
        <v>0.23161503901631592</v>
      </c>
      <c r="AA53" s="307">
        <v>0.24025676295277396</v>
      </c>
      <c r="AB53" s="377">
        <v>0.25402814603304097</v>
      </c>
      <c r="AC53" s="307">
        <v>0.22706000000000001</v>
      </c>
      <c r="AD53" s="307">
        <v>0.2231583273399774</v>
      </c>
      <c r="AE53" s="307">
        <v>0.21794099939795303</v>
      </c>
      <c r="AF53" s="377">
        <v>0.22205316387720397</v>
      </c>
      <c r="AG53" s="307">
        <f t="shared" si="4"/>
        <v>0.19588744588744589</v>
      </c>
      <c r="AH53" s="307">
        <f t="shared" si="5"/>
        <v>0.18343444556791372</v>
      </c>
      <c r="AI53" s="307">
        <f t="shared" si="6"/>
        <v>0.1431026402124668</v>
      </c>
      <c r="AJ53" s="309">
        <f t="shared" si="7"/>
        <v>0.15398966704936853</v>
      </c>
      <c r="AK53" s="307">
        <f t="shared" si="8"/>
        <v>0.15539371214306316</v>
      </c>
      <c r="AL53" s="307">
        <f t="shared" si="8"/>
        <v>0.15248271527341295</v>
      </c>
      <c r="AM53" s="307">
        <f t="shared" si="8"/>
        <v>0.1233580049343202</v>
      </c>
      <c r="AN53" s="309">
        <f t="shared" si="8"/>
        <v>0.14099434737923947</v>
      </c>
      <c r="AO53" s="307">
        <f t="shared" si="8"/>
        <v>0.14296825284593084</v>
      </c>
      <c r="AP53" s="307">
        <f t="shared" si="8"/>
        <v>0.13621222215492701</v>
      </c>
      <c r="AQ53" s="307">
        <f t="shared" si="8"/>
        <v>0.13287470539524809</v>
      </c>
      <c r="AR53" s="309">
        <f t="shared" si="8"/>
        <v>0.13691959886383398</v>
      </c>
      <c r="AS53" s="307">
        <f t="shared" ref="AS53" si="9">AS31/AS$28</f>
        <v>0.12422760041194644</v>
      </c>
      <c r="AT53" s="307">
        <f t="shared" ref="AT53" si="10">AT31/AT$28</f>
        <v>0.13443489755452742</v>
      </c>
    </row>
    <row r="54" spans="1:46">
      <c r="A54" s="41" t="s">
        <v>65</v>
      </c>
      <c r="B54" s="307">
        <v>0.15776677980645548</v>
      </c>
      <c r="C54" s="307">
        <v>0.14168696037192827</v>
      </c>
      <c r="D54" s="307">
        <v>0.13024486672618288</v>
      </c>
      <c r="E54" s="307">
        <v>0.13981977275695442</v>
      </c>
      <c r="F54" s="307">
        <v>0.13300203187348528</v>
      </c>
      <c r="G54" s="307">
        <v>0.13897347876640276</v>
      </c>
      <c r="H54" s="307">
        <f t="shared" si="1"/>
        <v>0.13845377727330055</v>
      </c>
      <c r="I54" s="307">
        <f t="shared" si="1"/>
        <v>0.15609530325592627</v>
      </c>
      <c r="J54" s="307">
        <f t="shared" si="2"/>
        <v>0.16406211159537976</v>
      </c>
      <c r="K54" s="307">
        <f t="shared" si="2"/>
        <v>0.17030375448085025</v>
      </c>
      <c r="M54" s="307">
        <v>0.13452975306976117</v>
      </c>
      <c r="N54" s="307">
        <v>0.12730041883487753</v>
      </c>
      <c r="O54" s="307">
        <v>0.13626806833114324</v>
      </c>
      <c r="P54" s="307">
        <v>0.12381852551984877</v>
      </c>
      <c r="Q54" s="308">
        <v>0.13397303534556054</v>
      </c>
      <c r="R54" s="307">
        <v>0.13715330691862238</v>
      </c>
      <c r="S54" s="307">
        <v>0.14962180084965288</v>
      </c>
      <c r="T54" s="307">
        <v>0.13790490623224094</v>
      </c>
      <c r="U54" s="308">
        <v>0.12079713847726112</v>
      </c>
      <c r="V54" s="307">
        <v>0.13137587050630528</v>
      </c>
      <c r="W54" s="307">
        <v>0.13299862177594016</v>
      </c>
      <c r="X54" s="309">
        <v>0.1463035019455253</v>
      </c>
      <c r="Y54" s="307">
        <v>0.14987957083424566</v>
      </c>
      <c r="Z54" s="307">
        <v>0.12567982974698511</v>
      </c>
      <c r="AA54" s="307">
        <v>0.14706556625401193</v>
      </c>
      <c r="AB54" s="377">
        <v>0.13308178666122783</v>
      </c>
      <c r="AC54" s="307">
        <v>0.13769500000000001</v>
      </c>
      <c r="AD54" s="307">
        <v>0.14435425870749</v>
      </c>
      <c r="AE54" s="307">
        <v>0.14107967088099538</v>
      </c>
      <c r="AF54" s="377">
        <v>0.13156717085831915</v>
      </c>
      <c r="AG54" s="307">
        <f t="shared" si="4"/>
        <v>0.15178571428571427</v>
      </c>
      <c r="AH54" s="307">
        <f t="shared" si="5"/>
        <v>0.16026289180990899</v>
      </c>
      <c r="AI54" s="307">
        <f t="shared" si="6"/>
        <v>0.15981877831588814</v>
      </c>
      <c r="AJ54" s="309">
        <f t="shared" si="7"/>
        <v>0.15255453501722158</v>
      </c>
      <c r="AK54" s="307">
        <f t="shared" si="8"/>
        <v>0.14767810787424285</v>
      </c>
      <c r="AL54" s="307">
        <f t="shared" si="8"/>
        <v>0.17510999371464489</v>
      </c>
      <c r="AM54" s="307">
        <f t="shared" si="8"/>
        <v>0.17410148696405947</v>
      </c>
      <c r="AN54" s="309">
        <f t="shared" si="8"/>
        <v>0.15769527235354575</v>
      </c>
      <c r="AO54" s="307">
        <f t="shared" si="8"/>
        <v>0.15937212755426713</v>
      </c>
      <c r="AP54" s="307">
        <f t="shared" si="8"/>
        <v>0.16504148749318637</v>
      </c>
      <c r="AQ54" s="307">
        <f t="shared" si="8"/>
        <v>0.17574367794127013</v>
      </c>
      <c r="AR54" s="309">
        <f t="shared" si="8"/>
        <v>0.17935192162773173</v>
      </c>
      <c r="AS54" s="307">
        <f t="shared" ref="AS54" si="11">AS32/AS$28</f>
        <v>0.1627188465499485</v>
      </c>
      <c r="AT54" s="307">
        <f t="shared" ref="AT54" si="12">AT32/AT$28</f>
        <v>0.14857898215465962</v>
      </c>
    </row>
    <row r="55" spans="1:46">
      <c r="A55" s="41" t="s">
        <v>85</v>
      </c>
      <c r="B55" s="307">
        <v>0.2322890800423221</v>
      </c>
      <c r="C55" s="307">
        <v>0.24297099845029888</v>
      </c>
      <c r="D55" s="307">
        <v>0.25108404540237217</v>
      </c>
      <c r="E55" s="307">
        <v>0.27047146401985112</v>
      </c>
      <c r="F55" s="307">
        <v>0.26108350265612379</v>
      </c>
      <c r="G55" s="307">
        <v>0.27841758485133711</v>
      </c>
      <c r="H55" s="307">
        <f t="shared" si="1"/>
        <v>0.28215411779543448</v>
      </c>
      <c r="I55" s="307">
        <f t="shared" si="1"/>
        <v>0.28073811727773978</v>
      </c>
      <c r="J55" s="307">
        <f t="shared" si="2"/>
        <v>0.29693585005717316</v>
      </c>
      <c r="K55" s="307">
        <f t="shared" si="2"/>
        <v>0.29083076536066915</v>
      </c>
      <c r="M55" s="307">
        <v>0.23613547429496695</v>
      </c>
      <c r="N55" s="307">
        <v>0.2463510597791598</v>
      </c>
      <c r="O55" s="307">
        <v>0.24204993429697766</v>
      </c>
      <c r="P55" s="307">
        <v>0.27670132325141777</v>
      </c>
      <c r="Q55" s="308">
        <v>0.28592250698408844</v>
      </c>
      <c r="R55" s="307">
        <v>0.27481458904805445</v>
      </c>
      <c r="S55" s="307">
        <v>0.27064552896072946</v>
      </c>
      <c r="T55" s="307">
        <v>0.25421481341163099</v>
      </c>
      <c r="U55" s="308">
        <v>0.24251405212059274</v>
      </c>
      <c r="V55" s="307">
        <v>0.25766986636551853</v>
      </c>
      <c r="W55" s="307">
        <v>0.27721992518212246</v>
      </c>
      <c r="X55" s="309">
        <v>0.26634241245136187</v>
      </c>
      <c r="Y55" s="307">
        <v>0.26472520253996057</v>
      </c>
      <c r="Z55" s="307">
        <v>0.27713407424923148</v>
      </c>
      <c r="AA55" s="307">
        <v>0.27384227418615315</v>
      </c>
      <c r="AB55" s="377">
        <v>0.29634917397511729</v>
      </c>
      <c r="AC55" s="307">
        <v>0.28519</v>
      </c>
      <c r="AD55" s="307">
        <v>0.26918730093496351</v>
      </c>
      <c r="AE55" s="307">
        <v>0.27031908488862133</v>
      </c>
      <c r="AF55" s="377">
        <v>0.30161997672961605</v>
      </c>
      <c r="AG55" s="307">
        <f t="shared" si="4"/>
        <v>0.26163419913419911</v>
      </c>
      <c r="AH55" s="307">
        <f t="shared" si="5"/>
        <v>0.25724637681159418</v>
      </c>
      <c r="AI55" s="307">
        <f t="shared" si="6"/>
        <v>0.28753319793782223</v>
      </c>
      <c r="AJ55" s="309">
        <f t="shared" si="7"/>
        <v>0.30970149253731344</v>
      </c>
      <c r="AK55" s="307">
        <f t="shared" si="8"/>
        <v>0.28273723680415347</v>
      </c>
      <c r="AL55" s="307">
        <f t="shared" si="8"/>
        <v>0.29088623507228156</v>
      </c>
      <c r="AM55" s="307">
        <f t="shared" si="8"/>
        <v>0.30172701206908048</v>
      </c>
      <c r="AN55" s="309">
        <f t="shared" si="8"/>
        <v>0.31115107913669066</v>
      </c>
      <c r="AO55" s="307">
        <f t="shared" si="8"/>
        <v>0.29717881637559218</v>
      </c>
      <c r="AP55" s="307">
        <f t="shared" si="8"/>
        <v>0.27587668826842709</v>
      </c>
      <c r="AQ55" s="307">
        <f t="shared" si="8"/>
        <v>0.29919103127587743</v>
      </c>
      <c r="AR55" s="309">
        <f>AR33/AR$28</f>
        <v>0.2923308793693119</v>
      </c>
      <c r="AS55" s="307">
        <f t="shared" ref="AS55" si="13">AS33/AS$28</f>
        <v>0.28578784757981462</v>
      </c>
      <c r="AT55" s="307">
        <f t="shared" ref="AT55" si="14">AT33/AT$28</f>
        <v>0.29385327164573694</v>
      </c>
    </row>
    <row r="56" spans="1:46">
      <c r="D56" s="305"/>
      <c r="E56" s="305"/>
      <c r="F56" s="305"/>
      <c r="G56" s="305"/>
      <c r="H56" s="305"/>
      <c r="I56" s="305"/>
      <c r="J56" s="305"/>
      <c r="K56" s="305"/>
      <c r="P56" s="305"/>
      <c r="Q56" s="310"/>
      <c r="R56" s="305"/>
      <c r="S56" s="305"/>
      <c r="T56" s="305"/>
      <c r="U56" s="310"/>
      <c r="V56" s="305"/>
      <c r="W56" s="305"/>
      <c r="X56" s="209"/>
      <c r="Y56" s="305"/>
      <c r="Z56" s="305"/>
      <c r="AA56" s="306"/>
      <c r="AB56" s="377"/>
      <c r="AC56" s="305"/>
      <c r="AD56" s="305"/>
      <c r="AE56" s="305"/>
      <c r="AF56" s="377"/>
      <c r="AG56" s="305"/>
      <c r="AH56" s="305"/>
      <c r="AI56" s="305"/>
      <c r="AJ56" s="377"/>
      <c r="AK56" s="305"/>
      <c r="AL56" s="305"/>
      <c r="AM56" s="305"/>
      <c r="AN56" s="209"/>
      <c r="AO56" s="305"/>
      <c r="AP56" s="305"/>
      <c r="AQ56" s="305"/>
      <c r="AR56" s="209"/>
      <c r="AS56" s="305"/>
      <c r="AT56" s="305"/>
    </row>
    <row r="57" spans="1:46" ht="11.5">
      <c r="A57" s="304" t="s">
        <v>73</v>
      </c>
      <c r="B57" s="313">
        <v>20317</v>
      </c>
      <c r="C57" s="313">
        <v>18898</v>
      </c>
      <c r="D57" s="313">
        <v>22383</v>
      </c>
      <c r="E57" s="313">
        <v>28540</v>
      </c>
      <c r="F57" s="313">
        <v>29891</v>
      </c>
      <c r="G57" s="313">
        <v>26928</v>
      </c>
      <c r="H57" s="313">
        <v>29320</v>
      </c>
      <c r="I57" s="577">
        <f>I35</f>
        <v>38904</v>
      </c>
      <c r="J57" s="313">
        <f>J35</f>
        <v>47530</v>
      </c>
      <c r="K57" s="313">
        <f>K35</f>
        <v>48914</v>
      </c>
      <c r="L57" s="128"/>
      <c r="M57" s="313">
        <v>5220</v>
      </c>
      <c r="N57" s="313">
        <v>5495</v>
      </c>
      <c r="O57" s="313">
        <v>5406</v>
      </c>
      <c r="P57" s="313">
        <v>6262</v>
      </c>
      <c r="Q57" s="315">
        <v>5943</v>
      </c>
      <c r="R57" s="313">
        <v>7325</v>
      </c>
      <c r="S57" s="313">
        <v>7178</v>
      </c>
      <c r="T57" s="313">
        <v>8094</v>
      </c>
      <c r="U57" s="315">
        <v>7115</v>
      </c>
      <c r="V57" s="313">
        <v>7702</v>
      </c>
      <c r="W57" s="313">
        <v>7334</v>
      </c>
      <c r="X57" s="314">
        <v>7740</v>
      </c>
      <c r="Y57" s="313">
        <v>6579</v>
      </c>
      <c r="Z57" s="313">
        <v>6422</v>
      </c>
      <c r="AA57" s="313">
        <v>6471</v>
      </c>
      <c r="AB57" s="314">
        <v>7456</v>
      </c>
      <c r="AC57" s="313">
        <v>6391</v>
      </c>
      <c r="AD57" s="313">
        <v>7187</v>
      </c>
      <c r="AE57" s="313">
        <v>7242</v>
      </c>
      <c r="AF57" s="314">
        <v>8500</v>
      </c>
      <c r="AG57" s="577">
        <f>AG35</f>
        <v>8485</v>
      </c>
      <c r="AH57" s="577">
        <f t="shared" ref="AH57:AJ57" si="15">AH35</f>
        <v>9060</v>
      </c>
      <c r="AI57" s="577">
        <f t="shared" si="15"/>
        <v>10070</v>
      </c>
      <c r="AJ57" s="579">
        <f t="shared" si="15"/>
        <v>11289</v>
      </c>
      <c r="AK57" s="313">
        <f>AK35</f>
        <v>10733</v>
      </c>
      <c r="AL57" s="313">
        <f>AL35</f>
        <v>12510</v>
      </c>
      <c r="AM57" s="313">
        <f>AM35</f>
        <v>11729</v>
      </c>
      <c r="AN57" s="314">
        <f t="shared" ref="AN57:AS57" si="16">+AN35</f>
        <v>12558</v>
      </c>
      <c r="AO57" s="313">
        <f t="shared" si="16"/>
        <v>11212</v>
      </c>
      <c r="AP57" s="313">
        <f t="shared" si="16"/>
        <v>12516</v>
      </c>
      <c r="AQ57" s="313">
        <f t="shared" si="16"/>
        <v>11875</v>
      </c>
      <c r="AR57" s="314">
        <f t="shared" si="16"/>
        <v>13311</v>
      </c>
      <c r="AS57" s="313">
        <f t="shared" si="16"/>
        <v>11704</v>
      </c>
      <c r="AT57" s="313">
        <f>+AT35</f>
        <v>11435</v>
      </c>
    </row>
    <row r="58" spans="1:46">
      <c r="A58" s="41" t="s">
        <v>63</v>
      </c>
      <c r="B58" s="307">
        <v>0.1917113747108333</v>
      </c>
      <c r="C58" s="307">
        <v>0.18432839494019787</v>
      </c>
      <c r="D58" s="307">
        <v>0.21445095240439041</v>
      </c>
      <c r="E58" s="307">
        <v>0.27755081951075455</v>
      </c>
      <c r="F58" s="307">
        <v>0.28764089186395631</v>
      </c>
      <c r="G58" s="307">
        <v>0.19240196078431374</v>
      </c>
      <c r="H58" s="307">
        <f t="shared" ref="H58:H62" si="17">+H36/H$35</f>
        <v>0.20617326057298771</v>
      </c>
      <c r="I58" s="307">
        <f>I36/$I$35</f>
        <v>0.24884330660086365</v>
      </c>
      <c r="J58" s="307">
        <f t="shared" ref="J58:K62" si="18">J36/$J$35</f>
        <v>0.24041657900273511</v>
      </c>
      <c r="K58" s="307">
        <f t="shared" si="18"/>
        <v>0.24571849358300021</v>
      </c>
      <c r="M58" s="307">
        <v>0.2157088122605364</v>
      </c>
      <c r="N58" s="307">
        <v>0.1743403093721565</v>
      </c>
      <c r="O58" s="307">
        <v>0.2005179430262671</v>
      </c>
      <c r="P58" s="307">
        <v>0.1898754391568189</v>
      </c>
      <c r="Q58" s="308">
        <v>0.19737506309944472</v>
      </c>
      <c r="R58" s="307">
        <v>0.19249146757679181</v>
      </c>
      <c r="S58" s="307">
        <v>0.19671217609361941</v>
      </c>
      <c r="T58" s="307">
        <v>0.20311341734618235</v>
      </c>
      <c r="U58" s="308">
        <v>0.20028109627547436</v>
      </c>
      <c r="V58" s="307">
        <v>0.20514152168267982</v>
      </c>
      <c r="W58" s="307">
        <v>0.18571038996454867</v>
      </c>
      <c r="X58" s="307">
        <v>0.19082687338501292</v>
      </c>
      <c r="Y58" s="308">
        <v>0.20246238030095759</v>
      </c>
      <c r="Z58" s="307">
        <v>0.19635627530364372</v>
      </c>
      <c r="AA58" s="307">
        <v>0.20754133827847318</v>
      </c>
      <c r="AB58" s="309">
        <v>0.16697961373390557</v>
      </c>
      <c r="AC58" s="308">
        <v>0.19</v>
      </c>
      <c r="AD58" s="307">
        <v>0.20217058577988034</v>
      </c>
      <c r="AE58" s="307">
        <v>0.21913835956917979</v>
      </c>
      <c r="AF58" s="309">
        <v>0.20847058823529413</v>
      </c>
      <c r="AG58" s="582">
        <f>AG36/$AG$35</f>
        <v>0.23995285798467886</v>
      </c>
      <c r="AH58" s="583">
        <f>AH36/$AH$35</f>
        <v>0.25231788079470197</v>
      </c>
      <c r="AI58" s="583">
        <f>AI36/$AI$35</f>
        <v>0.25849056603773585</v>
      </c>
      <c r="AJ58" s="584">
        <f>AJ36/$AJ$35</f>
        <v>0.24413145539906103</v>
      </c>
      <c r="AK58" s="307">
        <f>AK36/AK$35</f>
        <v>0.25211963104444235</v>
      </c>
      <c r="AL58" s="307">
        <f t="shared" ref="AL58:AR58" si="19">AL36/AL$35</f>
        <v>0.23661071143085532</v>
      </c>
      <c r="AM58" s="307">
        <f t="shared" si="19"/>
        <v>0.23898030522636202</v>
      </c>
      <c r="AN58" s="309">
        <f t="shared" si="19"/>
        <v>0.23554706163401815</v>
      </c>
      <c r="AO58" s="307">
        <f t="shared" si="19"/>
        <v>0.26712450945415628</v>
      </c>
      <c r="AP58" s="307">
        <f t="shared" si="19"/>
        <v>0.24017257909875359</v>
      </c>
      <c r="AQ58" s="307">
        <f t="shared" si="19"/>
        <v>0.22686315789473685</v>
      </c>
      <c r="AR58" s="309">
        <f t="shared" si="19"/>
        <v>0.22417549395237021</v>
      </c>
      <c r="AS58" s="307">
        <f t="shared" ref="AS58" si="20">AS36/AS$35</f>
        <v>0.25247778537252219</v>
      </c>
      <c r="AT58" s="307">
        <f>AT36/AT$35</f>
        <v>0.24573677306515085</v>
      </c>
    </row>
    <row r="59" spans="1:46">
      <c r="A59" s="41" t="s">
        <v>64</v>
      </c>
      <c r="B59" s="307">
        <v>0.15666683073288379</v>
      </c>
      <c r="C59" s="307">
        <v>0.13008810355859626</v>
      </c>
      <c r="D59" s="307">
        <v>0.16296697347049269</v>
      </c>
      <c r="E59" s="307">
        <v>0.20549293694935275</v>
      </c>
      <c r="F59" s="307">
        <v>0.26061918590343064</v>
      </c>
      <c r="G59" s="307">
        <v>0.14104278074866311</v>
      </c>
      <c r="H59" s="307">
        <f t="shared" si="17"/>
        <v>0.14737380627557981</v>
      </c>
      <c r="I59" s="307">
        <f t="shared" ref="I59:I62" si="21">I37/$I$35</f>
        <v>0.15103845362944684</v>
      </c>
      <c r="J59" s="307">
        <f t="shared" si="18"/>
        <v>0.15150431306543236</v>
      </c>
      <c r="K59" s="307">
        <f t="shared" si="18"/>
        <v>0.14386703134862192</v>
      </c>
      <c r="M59" s="307">
        <v>0.15842911877394636</v>
      </c>
      <c r="N59" s="307">
        <v>0.16014558689717925</v>
      </c>
      <c r="O59" s="307">
        <v>0.13780984091749907</v>
      </c>
      <c r="P59" s="307">
        <v>0.13717662088789523</v>
      </c>
      <c r="Q59" s="308">
        <v>0.13679959616355375</v>
      </c>
      <c r="R59" s="307">
        <v>0.13392491467576792</v>
      </c>
      <c r="S59" s="307">
        <v>0.14210086375034828</v>
      </c>
      <c r="T59" s="307">
        <v>0.16814924635532494</v>
      </c>
      <c r="U59" s="308">
        <v>0.1865073787772312</v>
      </c>
      <c r="V59" s="307">
        <v>0.17411062061802129</v>
      </c>
      <c r="W59" s="307">
        <v>0.18489228251977094</v>
      </c>
      <c r="X59" s="307">
        <v>0.16421188630490957</v>
      </c>
      <c r="Y59" s="308">
        <v>0.13299893600851193</v>
      </c>
      <c r="Z59" s="307">
        <v>0.16708190594830272</v>
      </c>
      <c r="AA59" s="307">
        <v>0.12192860454334724</v>
      </c>
      <c r="AB59" s="309">
        <v>0.14230150214592274</v>
      </c>
      <c r="AC59" s="308">
        <v>0.15</v>
      </c>
      <c r="AD59" s="307">
        <v>0.15722832892722971</v>
      </c>
      <c r="AE59" s="307">
        <v>0.15341066003866335</v>
      </c>
      <c r="AF59" s="309">
        <v>0.13529411764705881</v>
      </c>
      <c r="AG59" s="582">
        <f t="shared" ref="AG59:AG62" si="22">AG37/$AG$35</f>
        <v>0.15674720094284031</v>
      </c>
      <c r="AH59" s="583">
        <f t="shared" ref="AH59:AH62" si="23">AH37/$AH$35</f>
        <v>0.14933774834437086</v>
      </c>
      <c r="AI59" s="583">
        <f t="shared" ref="AI59:AI62" si="24">AI37/$AI$35</f>
        <v>0.15451837140019861</v>
      </c>
      <c r="AJ59" s="584">
        <f t="shared" ref="AJ59:AJ62" si="25">AJ37/$AJ$35</f>
        <v>0.14500841527150324</v>
      </c>
      <c r="AK59" s="307">
        <f t="shared" ref="AK59:AR62" si="26">AK37/AK$35</f>
        <v>0.15988074163793906</v>
      </c>
      <c r="AL59" s="307">
        <f t="shared" si="26"/>
        <v>0.14164668265387689</v>
      </c>
      <c r="AM59" s="307">
        <f t="shared" si="26"/>
        <v>0.15329525108704919</v>
      </c>
      <c r="AN59" s="309">
        <f t="shared" si="26"/>
        <v>0.15249243510113075</v>
      </c>
      <c r="AO59" s="307">
        <f t="shared" si="26"/>
        <v>0.13137709596860506</v>
      </c>
      <c r="AP59" s="307">
        <f t="shared" si="26"/>
        <v>0.15164589325663153</v>
      </c>
      <c r="AQ59" s="307">
        <f t="shared" si="26"/>
        <v>0.13372631578947369</v>
      </c>
      <c r="AR59" s="309">
        <f t="shared" si="26"/>
        <v>0.14116144542108031</v>
      </c>
      <c r="AS59" s="307">
        <f t="shared" ref="AS59" si="27">AS37/AS$35</f>
        <v>0.14567669172932332</v>
      </c>
      <c r="AT59" s="307">
        <f t="shared" ref="AT59" si="28">AT37/AT$35</f>
        <v>0.15076519457804985</v>
      </c>
    </row>
    <row r="60" spans="1:46">
      <c r="A60" s="41" t="s">
        <v>67</v>
      </c>
      <c r="B60" s="307">
        <v>0.25648471723187477</v>
      </c>
      <c r="C60" s="307">
        <v>0.24299847418418075</v>
      </c>
      <c r="D60" s="307">
        <v>0.29930599990156026</v>
      </c>
      <c r="E60" s="307">
        <v>0.30639366048137029</v>
      </c>
      <c r="F60" s="307">
        <v>0.3210119604272284</v>
      </c>
      <c r="G60" s="307">
        <v>0.22556446821152704</v>
      </c>
      <c r="H60" s="307">
        <f t="shared" si="17"/>
        <v>0.20289904502046385</v>
      </c>
      <c r="I60" s="307">
        <f t="shared" si="21"/>
        <v>0.14618034135307423</v>
      </c>
      <c r="J60" s="307">
        <f t="shared" si="18"/>
        <v>0.12815064169997897</v>
      </c>
      <c r="K60" s="307">
        <f t="shared" si="18"/>
        <v>0.12941300231432779</v>
      </c>
      <c r="M60" s="307">
        <v>0.25344827586206897</v>
      </c>
      <c r="N60" s="307">
        <v>0.28462238398544132</v>
      </c>
      <c r="O60" s="307">
        <v>0.27450980392156865</v>
      </c>
      <c r="P60" s="307">
        <v>0.27307569466624082</v>
      </c>
      <c r="Q60" s="308">
        <v>0.20780750462729261</v>
      </c>
      <c r="R60" s="307">
        <v>0.23153583617747439</v>
      </c>
      <c r="S60" s="307">
        <v>0.20730008358874338</v>
      </c>
      <c r="T60" s="307">
        <v>0.22325179145045712</v>
      </c>
      <c r="U60" s="308">
        <v>0.23527758257203091</v>
      </c>
      <c r="V60" s="307">
        <v>0.21838483510776421</v>
      </c>
      <c r="W60" s="307">
        <v>0.20029997272975184</v>
      </c>
      <c r="X60" s="307">
        <v>0.21925064599483204</v>
      </c>
      <c r="Y60" s="308">
        <v>0.21690226478188174</v>
      </c>
      <c r="Z60" s="307">
        <v>0.21208346309560885</v>
      </c>
      <c r="AA60" s="307">
        <v>0.22747643331787978</v>
      </c>
      <c r="AB60" s="309">
        <v>0.2431598712446352</v>
      </c>
      <c r="AC60" s="308">
        <v>0.2</v>
      </c>
      <c r="AD60" s="307">
        <v>0.20258800612216502</v>
      </c>
      <c r="AE60" s="307">
        <v>0.19814968240817454</v>
      </c>
      <c r="AF60" s="309">
        <v>0.20588235294117646</v>
      </c>
      <c r="AG60" s="582">
        <f t="shared" si="22"/>
        <v>0.17748968768414849</v>
      </c>
      <c r="AH60" s="583">
        <f>AH38/$AH$35</f>
        <v>0.16810154525386314</v>
      </c>
      <c r="AI60" s="583">
        <f t="shared" si="24"/>
        <v>0.11886792452830189</v>
      </c>
      <c r="AJ60" s="584">
        <f t="shared" si="25"/>
        <v>0.12941801753919746</v>
      </c>
      <c r="AK60" s="307">
        <f t="shared" si="26"/>
        <v>0.13630858101183266</v>
      </c>
      <c r="AL60" s="307">
        <f t="shared" si="26"/>
        <v>0.13693045563549161</v>
      </c>
      <c r="AM60" s="307">
        <f t="shared" si="26"/>
        <v>0.11075112967857448</v>
      </c>
      <c r="AN60" s="309">
        <f t="shared" si="26"/>
        <v>0.12868291129160694</v>
      </c>
      <c r="AO60" s="307">
        <f t="shared" si="26"/>
        <v>0.13280413842311808</v>
      </c>
      <c r="AP60" s="307">
        <f t="shared" si="26"/>
        <v>0.12384148290188558</v>
      </c>
      <c r="AQ60" s="307">
        <f t="shared" si="26"/>
        <v>0.12479999999999999</v>
      </c>
      <c r="AR60" s="309">
        <f t="shared" si="26"/>
        <v>0.12245511231312449</v>
      </c>
      <c r="AS60" s="307">
        <f t="shared" ref="AS60" si="29">AS38/AS$35</f>
        <v>0.1072282980177717</v>
      </c>
      <c r="AT60" s="307">
        <f t="shared" ref="AT60" si="30">AT38/AT$35</f>
        <v>0.11718408395277656</v>
      </c>
    </row>
    <row r="61" spans="1:46">
      <c r="A61" s="41" t="s">
        <v>65</v>
      </c>
      <c r="B61" s="307">
        <v>0.15336909976866664</v>
      </c>
      <c r="C61" s="307">
        <v>0.13028498301914654</v>
      </c>
      <c r="D61" s="307">
        <v>0.1298420042329084</v>
      </c>
      <c r="E61" s="307">
        <v>0.18816754442092828</v>
      </c>
      <c r="F61" s="307">
        <v>0.16877491755672588</v>
      </c>
      <c r="G61" s="307">
        <v>0.12726530005941772</v>
      </c>
      <c r="H61" s="307">
        <f t="shared" si="17"/>
        <v>0.12517053206002729</v>
      </c>
      <c r="I61" s="307">
        <f t="shared" si="21"/>
        <v>0.15085852354513674</v>
      </c>
      <c r="J61" s="307">
        <f t="shared" si="18"/>
        <v>0.1622554176309699</v>
      </c>
      <c r="K61" s="307">
        <f t="shared" si="18"/>
        <v>0.1807700399747528</v>
      </c>
      <c r="M61" s="307">
        <v>0.11781609195402298</v>
      </c>
      <c r="N61" s="307">
        <v>0.11774340309372157</v>
      </c>
      <c r="O61" s="307">
        <v>0.12782093969663336</v>
      </c>
      <c r="P61" s="307">
        <v>0.10938997125519004</v>
      </c>
      <c r="Q61" s="308">
        <v>0.12889113242470132</v>
      </c>
      <c r="R61" s="307">
        <v>0.13269624573378841</v>
      </c>
      <c r="S61" s="307">
        <v>0.14683755920869324</v>
      </c>
      <c r="T61" s="307">
        <v>0.12737830491722263</v>
      </c>
      <c r="U61" s="308">
        <v>0.11061138439915671</v>
      </c>
      <c r="V61" s="307">
        <v>0.10997143599065178</v>
      </c>
      <c r="W61" s="307">
        <v>0.10799018271066267</v>
      </c>
      <c r="X61" s="307">
        <v>0.12958656330749355</v>
      </c>
      <c r="Y61" s="308">
        <v>0.14029487764097887</v>
      </c>
      <c r="Z61" s="307">
        <v>0.1184989099968857</v>
      </c>
      <c r="AA61" s="307">
        <v>0.13413691855972801</v>
      </c>
      <c r="AB61" s="309">
        <v>0.11735515021459228</v>
      </c>
      <c r="AC61" s="308">
        <v>0.13</v>
      </c>
      <c r="AD61" s="307">
        <v>0.13093084736329483</v>
      </c>
      <c r="AE61" s="307">
        <v>0.12372272852803093</v>
      </c>
      <c r="AF61" s="309">
        <v>0.11858823529411765</v>
      </c>
      <c r="AG61" s="582">
        <f t="shared" si="22"/>
        <v>0.14484384207424866</v>
      </c>
      <c r="AH61" s="583">
        <f t="shared" si="23"/>
        <v>0.1575055187637969</v>
      </c>
      <c r="AI61" s="583">
        <f t="shared" si="24"/>
        <v>0.15412115193644488</v>
      </c>
      <c r="AJ61" s="584">
        <f t="shared" si="25"/>
        <v>0.14713437859863585</v>
      </c>
      <c r="AK61" s="307">
        <f t="shared" si="26"/>
        <v>0.14394856983136123</v>
      </c>
      <c r="AL61" s="307">
        <f t="shared" si="26"/>
        <v>0.17737809752198241</v>
      </c>
      <c r="AM61" s="307">
        <f t="shared" si="26"/>
        <v>0.17162588455963851</v>
      </c>
      <c r="AN61" s="309">
        <f t="shared" si="26"/>
        <v>0.15408504538939322</v>
      </c>
      <c r="AO61" s="307">
        <f t="shared" si="26"/>
        <v>0.15322868355333571</v>
      </c>
      <c r="AP61" s="307">
        <f t="shared" si="26"/>
        <v>0.17569511025886864</v>
      </c>
      <c r="AQ61" s="307">
        <f t="shared" si="26"/>
        <v>0.18071578947368422</v>
      </c>
      <c r="AR61" s="309">
        <f t="shared" si="26"/>
        <v>0.18999323867478027</v>
      </c>
      <c r="AS61" s="307">
        <f t="shared" ref="AS61" si="31">AS39/AS$35</f>
        <v>0.17190704032809295</v>
      </c>
      <c r="AT61" s="307">
        <f t="shared" ref="AT61" si="32">AT39/AT$35</f>
        <v>0.1529514648010494</v>
      </c>
    </row>
    <row r="62" spans="1:46">
      <c r="A62" s="41" t="s">
        <v>85</v>
      </c>
      <c r="B62" s="307">
        <v>0.2417679775557415</v>
      </c>
      <c r="C62" s="307">
        <v>0.24245705566766748</v>
      </c>
      <c r="D62" s="307">
        <v>0.29512231136486688</v>
      </c>
      <c r="E62" s="307">
        <v>0.42712998966382831</v>
      </c>
      <c r="F62" s="307">
        <v>0.43318403307574938</v>
      </c>
      <c r="G62" s="307">
        <v>0.31372549019607843</v>
      </c>
      <c r="H62" s="307">
        <f t="shared" si="17"/>
        <v>0.31838335607094131</v>
      </c>
      <c r="I62" s="307">
        <f t="shared" si="21"/>
        <v>0.30307937487147851</v>
      </c>
      <c r="J62" s="307">
        <f t="shared" si="18"/>
        <v>0.31767304860088363</v>
      </c>
      <c r="K62" s="307">
        <f t="shared" si="18"/>
        <v>0.32934988428361034</v>
      </c>
      <c r="M62" s="307">
        <v>0.25459770114942532</v>
      </c>
      <c r="N62" s="307">
        <v>0.26314831665150135</v>
      </c>
      <c r="O62" s="307">
        <v>0.25934147243803179</v>
      </c>
      <c r="P62" s="307">
        <v>0.29048227403385501</v>
      </c>
      <c r="Q62" s="308">
        <v>0.32912670368500757</v>
      </c>
      <c r="R62" s="307">
        <v>0.30935153583617747</v>
      </c>
      <c r="S62" s="307">
        <v>0.3070493173585957</v>
      </c>
      <c r="T62" s="307">
        <v>0.27810723993081293</v>
      </c>
      <c r="U62" s="308">
        <v>0.26732255797610682</v>
      </c>
      <c r="V62" s="307">
        <v>0.29239158660088288</v>
      </c>
      <c r="W62" s="307">
        <v>0.3211071720752659</v>
      </c>
      <c r="X62" s="307">
        <v>0.29612403100775192</v>
      </c>
      <c r="Y62" s="308">
        <v>0.30734154126766988</v>
      </c>
      <c r="Z62" s="307">
        <v>0.30597944565555901</v>
      </c>
      <c r="AA62" s="307">
        <v>0.3089167053005718</v>
      </c>
      <c r="AB62" s="309">
        <v>0.3302038626609442</v>
      </c>
      <c r="AC62" s="308">
        <v>0.33</v>
      </c>
      <c r="AD62" s="307">
        <v>0.30708223180743011</v>
      </c>
      <c r="AE62" s="307">
        <v>0.30557856945595141</v>
      </c>
      <c r="AF62" s="309">
        <v>0.33176470588235296</v>
      </c>
      <c r="AG62" s="582">
        <f t="shared" si="22"/>
        <v>0.28096641131408367</v>
      </c>
      <c r="AH62" s="583">
        <f t="shared" si="23"/>
        <v>0.27273730684326714</v>
      </c>
      <c r="AI62" s="583">
        <f t="shared" si="24"/>
        <v>0.31400198609731877</v>
      </c>
      <c r="AJ62" s="584">
        <f t="shared" si="25"/>
        <v>0.33430773319160245</v>
      </c>
      <c r="AK62" s="307">
        <f t="shared" si="26"/>
        <v>0.30774247647442465</v>
      </c>
      <c r="AL62" s="307">
        <f t="shared" si="26"/>
        <v>0.30743405275779379</v>
      </c>
      <c r="AM62" s="307">
        <f t="shared" si="26"/>
        <v>0.3253474294483758</v>
      </c>
      <c r="AN62" s="309">
        <f t="shared" si="26"/>
        <v>0.32919254658385094</v>
      </c>
      <c r="AO62" s="307">
        <f t="shared" si="26"/>
        <v>0.31546557260078489</v>
      </c>
      <c r="AP62" s="307">
        <f t="shared" si="26"/>
        <v>0.30864493448386066</v>
      </c>
      <c r="AQ62" s="307">
        <f t="shared" si="26"/>
        <v>0.33389473684210524</v>
      </c>
      <c r="AR62" s="309">
        <f t="shared" si="26"/>
        <v>0.32221470963864474</v>
      </c>
      <c r="AS62" s="307">
        <f t="shared" ref="AS62" si="33">AS40/AS$35</f>
        <v>0.32271018455228984</v>
      </c>
      <c r="AT62" s="307">
        <f t="shared" ref="AT62" si="34">AT40/AT$35</f>
        <v>0.33336248360297333</v>
      </c>
    </row>
    <row r="63" spans="1:46">
      <c r="D63" s="305"/>
      <c r="E63" s="305"/>
      <c r="F63" s="305"/>
      <c r="G63" s="305"/>
      <c r="H63" s="305"/>
      <c r="I63" s="305"/>
      <c r="J63" s="305"/>
      <c r="K63" s="305"/>
      <c r="N63" s="305"/>
      <c r="P63" s="305"/>
      <c r="Q63" s="310"/>
      <c r="R63" s="305"/>
      <c r="S63" s="305"/>
      <c r="T63" s="305"/>
      <c r="U63" s="310"/>
      <c r="V63" s="305"/>
      <c r="W63" s="305"/>
      <c r="X63" s="305"/>
      <c r="Y63" s="310"/>
      <c r="Z63" s="305"/>
      <c r="AA63" s="307"/>
      <c r="AB63" s="309"/>
      <c r="AC63" s="310"/>
      <c r="AD63" s="305"/>
      <c r="AE63" s="305"/>
      <c r="AF63" s="309"/>
      <c r="AG63" s="310"/>
      <c r="AH63" s="305"/>
      <c r="AI63" s="305"/>
      <c r="AJ63" s="309"/>
      <c r="AK63" s="310"/>
      <c r="AL63" s="305"/>
      <c r="AM63" s="305"/>
      <c r="AN63" s="309"/>
      <c r="AO63" s="307"/>
      <c r="AP63" s="307"/>
      <c r="AQ63" s="307"/>
      <c r="AR63" s="309"/>
      <c r="AS63" s="307"/>
      <c r="AT63" s="307"/>
    </row>
    <row r="64" spans="1:46" ht="11.5">
      <c r="A64" s="304" t="s">
        <v>71</v>
      </c>
      <c r="B64" s="313">
        <v>8088</v>
      </c>
      <c r="C64" s="313">
        <v>7925</v>
      </c>
      <c r="D64" s="313">
        <v>8738</v>
      </c>
      <c r="E64" s="313">
        <v>9519</v>
      </c>
      <c r="F64" s="313">
        <v>10799</v>
      </c>
      <c r="G64" s="313">
        <v>9025</v>
      </c>
      <c r="H64" s="313">
        <v>10205</v>
      </c>
      <c r="I64" s="577">
        <f>I42</f>
        <v>10806</v>
      </c>
      <c r="J64" s="313">
        <f>J42</f>
        <v>12723</v>
      </c>
      <c r="K64" s="313">
        <f>K42</f>
        <v>14640</v>
      </c>
      <c r="L64" s="128"/>
      <c r="M64" s="313">
        <v>2161</v>
      </c>
      <c r="N64" s="313">
        <v>2297</v>
      </c>
      <c r="O64" s="313">
        <v>2141</v>
      </c>
      <c r="P64" s="313">
        <v>2139</v>
      </c>
      <c r="Q64" s="315">
        <v>2245</v>
      </c>
      <c r="R64" s="313">
        <v>2452</v>
      </c>
      <c r="S64" s="313">
        <v>2382</v>
      </c>
      <c r="T64" s="313">
        <v>2440</v>
      </c>
      <c r="U64" s="315">
        <v>2605</v>
      </c>
      <c r="V64" s="313">
        <v>2926</v>
      </c>
      <c r="W64" s="313">
        <v>2765</v>
      </c>
      <c r="X64" s="314">
        <v>2503</v>
      </c>
      <c r="Y64" s="313">
        <v>2505</v>
      </c>
      <c r="Z64" s="313">
        <v>2035</v>
      </c>
      <c r="AA64" s="313">
        <v>2196</v>
      </c>
      <c r="AB64" s="314">
        <v>2288</v>
      </c>
      <c r="AC64" s="313">
        <v>2345</v>
      </c>
      <c r="AD64" s="313">
        <v>2517</v>
      </c>
      <c r="AE64" s="313">
        <v>2699</v>
      </c>
      <c r="AF64" s="314">
        <v>2644</v>
      </c>
      <c r="AG64" s="577">
        <f>AG42</f>
        <v>2588</v>
      </c>
      <c r="AH64" s="577">
        <f t="shared" ref="AH64:AJ64" si="35">AH42</f>
        <v>2793.5</v>
      </c>
      <c r="AI64" s="577">
        <f t="shared" si="35"/>
        <v>2711</v>
      </c>
      <c r="AJ64" s="579">
        <f t="shared" si="35"/>
        <v>2713</v>
      </c>
      <c r="AK64" s="313">
        <f>AK42</f>
        <v>3125</v>
      </c>
      <c r="AL64" s="313">
        <f>AL42</f>
        <v>3418</v>
      </c>
      <c r="AM64" s="313">
        <f>AM42</f>
        <v>3195</v>
      </c>
      <c r="AN64" s="314">
        <f t="shared" ref="AN64:AS64" si="36">+AN42</f>
        <v>2985</v>
      </c>
      <c r="AO64" s="313">
        <f t="shared" si="36"/>
        <v>2949</v>
      </c>
      <c r="AP64" s="313">
        <f t="shared" si="36"/>
        <v>3991</v>
      </c>
      <c r="AQ64" s="313">
        <f t="shared" si="36"/>
        <v>3809</v>
      </c>
      <c r="AR64" s="314">
        <f t="shared" si="36"/>
        <v>3891</v>
      </c>
      <c r="AS64" s="313">
        <f t="shared" si="36"/>
        <v>3811</v>
      </c>
      <c r="AT64" s="313">
        <f t="shared" ref="AT64" si="37">+AT42</f>
        <v>3665</v>
      </c>
    </row>
    <row r="65" spans="1:46">
      <c r="A65" s="41" t="s">
        <v>63</v>
      </c>
      <c r="B65" s="307">
        <v>0.26483679525222553</v>
      </c>
      <c r="C65" s="307">
        <v>0.27987381703470032</v>
      </c>
      <c r="D65" s="307">
        <v>0.28759441519798579</v>
      </c>
      <c r="E65" s="307">
        <v>0.2862695661308961</v>
      </c>
      <c r="F65" s="307">
        <v>0.28335957033058617</v>
      </c>
      <c r="G65" s="307">
        <v>0.2742382271468144</v>
      </c>
      <c r="H65" s="307">
        <f t="shared" ref="H65:H69" si="38">+H43/H$42</f>
        <v>0.26967172954434099</v>
      </c>
      <c r="I65" s="307">
        <f>I43/$I$42</f>
        <v>0.29483620210993894</v>
      </c>
      <c r="J65" s="307">
        <f t="shared" ref="J65:K69" si="39">J43/$J$42</f>
        <v>0.31187612984359037</v>
      </c>
      <c r="K65" s="307">
        <f t="shared" si="39"/>
        <v>0.47473080248369093</v>
      </c>
      <c r="L65" s="305"/>
      <c r="M65" s="307">
        <v>0.30032392410920872</v>
      </c>
      <c r="N65" s="307">
        <v>0.29734436221158034</v>
      </c>
      <c r="O65" s="307">
        <v>0.29659037832788415</v>
      </c>
      <c r="P65" s="307">
        <v>0.2552594670406732</v>
      </c>
      <c r="Q65" s="308">
        <v>0.31180400890868598</v>
      </c>
      <c r="R65" s="307">
        <v>0.27773246329526918</v>
      </c>
      <c r="S65" s="307">
        <v>0.29513014273719562</v>
      </c>
      <c r="T65" s="307">
        <v>0.26270491803278689</v>
      </c>
      <c r="U65" s="308">
        <v>0.29673704414587332</v>
      </c>
      <c r="V65" s="307">
        <v>0.28981544771018453</v>
      </c>
      <c r="W65" s="307">
        <v>0.29005424954792042</v>
      </c>
      <c r="X65" s="307">
        <v>0.25449460647223332</v>
      </c>
      <c r="Y65" s="308">
        <v>0.29341317365269459</v>
      </c>
      <c r="Z65" s="307">
        <v>0.28255528255528256</v>
      </c>
      <c r="AA65" s="307">
        <v>0.26775956284153007</v>
      </c>
      <c r="AB65" s="309">
        <v>0.25218531468531469</v>
      </c>
      <c r="AC65" s="308">
        <v>0.28100000000000003</v>
      </c>
      <c r="AD65" s="307">
        <v>0.27532777115613827</v>
      </c>
      <c r="AE65" s="307">
        <v>0.27084105224157096</v>
      </c>
      <c r="AF65" s="309">
        <v>0.25302571860816941</v>
      </c>
      <c r="AG65" s="582">
        <f>AG43/$AG$42</f>
        <v>0.27434312210200928</v>
      </c>
      <c r="AH65" s="583">
        <f>AH43/$AH$42</f>
        <v>0.30212994451405045</v>
      </c>
      <c r="AI65" s="583">
        <f>AI43/$AI$42</f>
        <v>0.30505348579859831</v>
      </c>
      <c r="AJ65" s="584">
        <f>AJ43/$AJ$42</f>
        <v>0.29671949870991521</v>
      </c>
      <c r="AK65" s="307">
        <f>AK43/AK$42</f>
        <v>0.33792</v>
      </c>
      <c r="AL65" s="307">
        <f t="shared" ref="AL65:AR65" si="40">AL43/AL$42</f>
        <v>0.30076067875950846</v>
      </c>
      <c r="AM65" s="307">
        <f t="shared" si="40"/>
        <v>0.29921752738654145</v>
      </c>
      <c r="AN65" s="309">
        <f t="shared" si="40"/>
        <v>0.31088777219430486</v>
      </c>
      <c r="AO65" s="307">
        <f t="shared" si="40"/>
        <v>0.31332655137334692</v>
      </c>
      <c r="AP65" s="307">
        <f t="shared" si="40"/>
        <v>0.46279128038085693</v>
      </c>
      <c r="AQ65" s="307">
        <f t="shared" si="40"/>
        <v>0.43318456287739565</v>
      </c>
      <c r="AR65" s="309">
        <f t="shared" si="40"/>
        <v>0.41608840914931894</v>
      </c>
      <c r="AS65" s="307">
        <f t="shared" ref="AS65" si="41">AS43/AS$42</f>
        <v>0.46024665442141172</v>
      </c>
      <c r="AT65" s="307">
        <f t="shared" ref="AT65" si="42">AT43/AT$42</f>
        <v>0.44638472032742155</v>
      </c>
    </row>
    <row r="66" spans="1:46">
      <c r="A66" s="41" t="s">
        <v>64</v>
      </c>
      <c r="B66" s="307">
        <v>9.2977250247279916E-2</v>
      </c>
      <c r="C66" s="307">
        <v>8.9337539432176663E-2</v>
      </c>
      <c r="D66" s="307">
        <v>8.9494163424124515E-2</v>
      </c>
      <c r="E66" s="307">
        <v>8.9400147074272504E-2</v>
      </c>
      <c r="F66" s="307">
        <v>0.10037966478377627</v>
      </c>
      <c r="G66" s="307">
        <v>9.2853185595567864E-2</v>
      </c>
      <c r="H66" s="307">
        <f t="shared" si="38"/>
        <v>9.5737383635472809E-2</v>
      </c>
      <c r="I66" s="307">
        <f t="shared" ref="I66:I68" si="43">I44/$I$42</f>
        <v>8.9764945400703317E-2</v>
      </c>
      <c r="J66" s="307">
        <f t="shared" si="39"/>
        <v>9.9819225025544286E-2</v>
      </c>
      <c r="K66" s="307">
        <f t="shared" si="39"/>
        <v>7.2467185412245533E-2</v>
      </c>
      <c r="L66" s="305"/>
      <c r="M66" s="307">
        <v>8.745950948634891E-2</v>
      </c>
      <c r="N66" s="307">
        <v>8.0104484109708315E-2</v>
      </c>
      <c r="O66" s="307">
        <v>9.1546006539000468E-2</v>
      </c>
      <c r="P66" s="307">
        <v>9.957924263674614E-2</v>
      </c>
      <c r="Q66" s="308">
        <v>9.3986636971046769E-2</v>
      </c>
      <c r="R66" s="307">
        <v>8.8907014681892327E-2</v>
      </c>
      <c r="S66" s="307">
        <v>8.8161209068010074E-2</v>
      </c>
      <c r="T66" s="307">
        <v>8.6885245901639346E-2</v>
      </c>
      <c r="U66" s="308">
        <v>9.3666026871401145E-2</v>
      </c>
      <c r="V66" s="307">
        <v>9.4326725905673273E-2</v>
      </c>
      <c r="W66" s="307">
        <v>0.10488245931283906</v>
      </c>
      <c r="X66" s="307">
        <v>0.10946863763483819</v>
      </c>
      <c r="Y66" s="308">
        <v>9.6207584830339324E-2</v>
      </c>
      <c r="Z66" s="307">
        <v>8.6977886977886984E-2</v>
      </c>
      <c r="AA66" s="307">
        <v>9.3351548269581058E-2</v>
      </c>
      <c r="AB66" s="309">
        <v>9.3531468531468528E-2</v>
      </c>
      <c r="AC66" s="308">
        <v>9.6799999999999997E-2</v>
      </c>
      <c r="AD66" s="307">
        <v>9.8529996027016287E-2</v>
      </c>
      <c r="AE66" s="307">
        <v>9.4849944423860688E-2</v>
      </c>
      <c r="AF66" s="309">
        <v>9.3040847201210281E-2</v>
      </c>
      <c r="AG66" s="582">
        <f t="shared" ref="AG66:AG69" si="44">AG44/$AG$42</f>
        <v>9.0803709428129833E-2</v>
      </c>
      <c r="AH66" s="583">
        <f t="shared" ref="AH66:AH69" si="45">AH44/$AH$42</f>
        <v>8.698764990155719E-2</v>
      </c>
      <c r="AI66" s="583">
        <f t="shared" ref="AI66:AI69" si="46">AI44/$AI$42</f>
        <v>9.3692364441165618E-2</v>
      </c>
      <c r="AJ66" s="584">
        <f t="shared" ref="AJ66:AJ69" si="47">AJ44/$AJ$42</f>
        <v>8.772576483597494E-2</v>
      </c>
      <c r="AK66" s="307">
        <f t="shared" ref="AK66:AR69" si="48">AK44/AK$42</f>
        <v>8.6080000000000004E-2</v>
      </c>
      <c r="AL66" s="307">
        <f t="shared" si="48"/>
        <v>0.10064365125804564</v>
      </c>
      <c r="AM66" s="307">
        <f t="shared" si="48"/>
        <v>0.12394366197183099</v>
      </c>
      <c r="AN66" s="309">
        <f t="shared" si="48"/>
        <v>8.7437185929648248E-2</v>
      </c>
      <c r="AO66" s="307">
        <f t="shared" si="48"/>
        <v>8.952187182095625E-2</v>
      </c>
      <c r="AP66" s="307">
        <f t="shared" si="48"/>
        <v>5.5875720370834381E-2</v>
      </c>
      <c r="AQ66" s="307">
        <f t="shared" si="48"/>
        <v>5.8020477815699661E-2</v>
      </c>
      <c r="AR66" s="309">
        <f t="shared" si="48"/>
        <v>5.4998714983294783E-2</v>
      </c>
      <c r="AS66" s="307">
        <f t="shared" ref="AS66" si="49">AS44/AS$42</f>
        <v>5.6153240619260039E-2</v>
      </c>
      <c r="AT66" s="307">
        <f t="shared" ref="AT66" si="50">AT44/AT$42</f>
        <v>5.6753069577080491E-2</v>
      </c>
    </row>
    <row r="67" spans="1:46">
      <c r="A67" s="41" t="s">
        <v>67</v>
      </c>
      <c r="B67" s="307">
        <v>0.3076162215628091</v>
      </c>
      <c r="C67" s="307">
        <v>0.29615141955835961</v>
      </c>
      <c r="D67" s="307">
        <v>0.29674982833600366</v>
      </c>
      <c r="E67" s="307">
        <v>0.29236264313478305</v>
      </c>
      <c r="F67" s="307">
        <v>0.26270951013982774</v>
      </c>
      <c r="G67" s="307">
        <v>0.28742382271468142</v>
      </c>
      <c r="H67" s="307">
        <f t="shared" si="38"/>
        <v>0.27623713865752081</v>
      </c>
      <c r="I67" s="307">
        <f t="shared" si="43"/>
        <v>0.24171756431612068</v>
      </c>
      <c r="J67" s="307">
        <f t="shared" si="39"/>
        <v>0.19586575493201289</v>
      </c>
      <c r="K67" s="307">
        <f t="shared" si="39"/>
        <v>0.20372553643008726</v>
      </c>
      <c r="L67" s="305"/>
      <c r="M67" s="307">
        <v>0.29523368810735773</v>
      </c>
      <c r="N67" s="307">
        <v>0.30213321723987813</v>
      </c>
      <c r="O67" s="307">
        <v>0.29939280709948624</v>
      </c>
      <c r="P67" s="307">
        <v>0.28985507246376813</v>
      </c>
      <c r="Q67" s="308">
        <v>0.27037861915367484</v>
      </c>
      <c r="R67" s="307">
        <v>0.30587275693311583</v>
      </c>
      <c r="S67" s="307">
        <v>0.28883291351805207</v>
      </c>
      <c r="T67" s="307">
        <v>0.30245901639344264</v>
      </c>
      <c r="U67" s="308">
        <v>0.28138195777351249</v>
      </c>
      <c r="V67" s="307">
        <v>0.26555023923444976</v>
      </c>
      <c r="W67" s="307">
        <v>0.24195298372513563</v>
      </c>
      <c r="X67" s="307">
        <v>0.2628845385537355</v>
      </c>
      <c r="Y67" s="308">
        <v>0.2806387225548902</v>
      </c>
      <c r="Z67" s="307">
        <v>0.30171990171990171</v>
      </c>
      <c r="AA67" s="307">
        <v>0.27823315118397085</v>
      </c>
      <c r="AB67" s="309">
        <v>0.29108391608391609</v>
      </c>
      <c r="AC67" s="308">
        <v>0.28656700000000002</v>
      </c>
      <c r="AD67" s="307">
        <v>0.28009535160905841</v>
      </c>
      <c r="AE67" s="307">
        <v>0.26787699147832533</v>
      </c>
      <c r="AF67" s="309">
        <v>0.27193645990922843</v>
      </c>
      <c r="AG67" s="582">
        <f t="shared" si="44"/>
        <v>0.2604327666151468</v>
      </c>
      <c r="AH67" s="583">
        <f t="shared" si="45"/>
        <v>0.23339896187578307</v>
      </c>
      <c r="AI67" s="583">
        <f t="shared" si="46"/>
        <v>0.22943563260789376</v>
      </c>
      <c r="AJ67" s="584">
        <f>AJ45/$AJ$42</f>
        <v>0.24474751197935865</v>
      </c>
      <c r="AK67" s="307">
        <f t="shared" si="48"/>
        <v>0.21792</v>
      </c>
      <c r="AL67" s="307">
        <f t="shared" si="48"/>
        <v>0.20509069631363369</v>
      </c>
      <c r="AM67" s="307">
        <f t="shared" si="48"/>
        <v>0.16870109546165885</v>
      </c>
      <c r="AN67" s="309">
        <f t="shared" si="48"/>
        <v>0.19128978224455612</v>
      </c>
      <c r="AO67" s="307">
        <f t="shared" si="48"/>
        <v>0.18887758562224483</v>
      </c>
      <c r="AP67" s="307">
        <f t="shared" si="48"/>
        <v>0.1758957654723127</v>
      </c>
      <c r="AQ67" s="307">
        <f t="shared" si="48"/>
        <v>0.15568390653714886</v>
      </c>
      <c r="AR67" s="309">
        <f t="shared" si="48"/>
        <v>0.19018247237214084</v>
      </c>
      <c r="AS67" s="307">
        <f t="shared" ref="AS67" si="51">AS45/AS$42</f>
        <v>0.17475728155339806</v>
      </c>
      <c r="AT67" s="307">
        <f>AT45/AT$42</f>
        <v>0.18772169167803546</v>
      </c>
    </row>
    <row r="68" spans="1:46">
      <c r="A68" s="41" t="s">
        <v>65</v>
      </c>
      <c r="B68" s="307">
        <v>0.17173590504451039</v>
      </c>
      <c r="C68" s="307">
        <v>0.16012618296529968</v>
      </c>
      <c r="D68" s="307">
        <v>0.14843213550011444</v>
      </c>
      <c r="E68" s="307">
        <v>0.16073116924046643</v>
      </c>
      <c r="F68" s="307">
        <v>0.18557273821650153</v>
      </c>
      <c r="G68" s="307">
        <v>0.17662049861495846</v>
      </c>
      <c r="H68" s="307">
        <f t="shared" si="38"/>
        <v>0.17853993140617344</v>
      </c>
      <c r="I68" s="307">
        <f t="shared" si="43"/>
        <v>0.17499537294095874</v>
      </c>
      <c r="J68" s="307">
        <f t="shared" si="39"/>
        <v>0.17197201917786686</v>
      </c>
      <c r="K68" s="307">
        <f t="shared" si="39"/>
        <v>0.17605910555686552</v>
      </c>
      <c r="L68" s="305"/>
      <c r="M68" s="307">
        <v>0.14761684405367886</v>
      </c>
      <c r="N68" s="307">
        <v>0.1410535481062255</v>
      </c>
      <c r="O68" s="307">
        <v>0.14946286781877627</v>
      </c>
      <c r="P68" s="307">
        <v>0.15614773258532025</v>
      </c>
      <c r="Q68" s="308">
        <v>0.15011135857461025</v>
      </c>
      <c r="R68" s="307">
        <v>0.15415986949429036</v>
      </c>
      <c r="S68" s="307">
        <v>0.16372795969773299</v>
      </c>
      <c r="T68" s="307">
        <v>0.17418032786885246</v>
      </c>
      <c r="U68" s="308">
        <v>0.15163147792706333</v>
      </c>
      <c r="V68" s="307">
        <v>0.18762816131237184</v>
      </c>
      <c r="W68" s="307">
        <v>0.20216998191681737</v>
      </c>
      <c r="X68" s="307">
        <v>0.20015980823012386</v>
      </c>
      <c r="Y68" s="308">
        <v>0.17804391217564872</v>
      </c>
      <c r="Z68" s="307">
        <v>0.1484029484029484</v>
      </c>
      <c r="AA68" s="307">
        <v>0.1889799635701275</v>
      </c>
      <c r="AB68" s="309">
        <v>0.18837412587412589</v>
      </c>
      <c r="AC68" s="308">
        <v>0.16375000000000001</v>
      </c>
      <c r="AD68" s="307">
        <v>0.18474374255065554</v>
      </c>
      <c r="AE68" s="307">
        <v>0.18895887365690997</v>
      </c>
      <c r="AF68" s="309">
        <v>0.17511346444780634</v>
      </c>
      <c r="AG68" s="582">
        <f t="shared" si="44"/>
        <v>0.17542503863987635</v>
      </c>
      <c r="AH68" s="583">
        <f>AH46/$AH$42</f>
        <v>0.1700375872561303</v>
      </c>
      <c r="AI68" s="583">
        <f t="shared" si="46"/>
        <v>0.18222058281077094</v>
      </c>
      <c r="AJ68" s="584">
        <f t="shared" si="47"/>
        <v>0.17250276446737928</v>
      </c>
      <c r="AK68" s="307">
        <f t="shared" si="48"/>
        <v>0.16128000000000001</v>
      </c>
      <c r="AL68" s="307">
        <f t="shared" si="48"/>
        <v>0.16559391456992392</v>
      </c>
      <c r="AM68" s="307">
        <f t="shared" si="48"/>
        <v>0.18685446009389672</v>
      </c>
      <c r="AN68" s="309">
        <f t="shared" si="48"/>
        <v>0.17453936348408711</v>
      </c>
      <c r="AO68" s="307">
        <f t="shared" si="48"/>
        <v>0.18175652763648695</v>
      </c>
      <c r="AP68" s="307">
        <f t="shared" si="48"/>
        <v>0.13179654221999498</v>
      </c>
      <c r="AQ68" s="307">
        <f t="shared" si="48"/>
        <v>0.16093462851142032</v>
      </c>
      <c r="AR68" s="309">
        <f t="shared" si="48"/>
        <v>0.14520688768953996</v>
      </c>
      <c r="AS68" s="307">
        <f t="shared" ref="AS68" si="52">AS46/AS$42</f>
        <v>0.13513513513513514</v>
      </c>
      <c r="AT68" s="307">
        <f t="shared" ref="AT68" si="53">AT46/AT$42</f>
        <v>0.13615279672578445</v>
      </c>
    </row>
    <row r="69" spans="1:46">
      <c r="A69" s="41" t="s">
        <v>85</v>
      </c>
      <c r="B69" s="307">
        <v>0.16271018793273986</v>
      </c>
      <c r="C69" s="307">
        <v>0.17451104100946371</v>
      </c>
      <c r="D69" s="307">
        <v>0.17772945754177158</v>
      </c>
      <c r="E69" s="307">
        <v>0.1712364744195819</v>
      </c>
      <c r="F69" s="307">
        <v>0.16797851652930826</v>
      </c>
      <c r="G69" s="307">
        <v>0.16886426592797785</v>
      </c>
      <c r="H69" s="307">
        <f t="shared" si="38"/>
        <v>0.17981381675649191</v>
      </c>
      <c r="I69" s="307">
        <f>I47/$I$42</f>
        <v>0.19868591523227835</v>
      </c>
      <c r="J69" s="307">
        <f t="shared" si="39"/>
        <v>0.22046687102098561</v>
      </c>
      <c r="K69" s="307">
        <f t="shared" si="39"/>
        <v>0.22368938143519609</v>
      </c>
      <c r="L69" s="305"/>
      <c r="M69" s="307">
        <v>0.16936603424340582</v>
      </c>
      <c r="N69" s="307">
        <v>0.17936438833260776</v>
      </c>
      <c r="O69" s="307">
        <v>0.16300794021485288</v>
      </c>
      <c r="P69" s="307">
        <v>0.19915848527349228</v>
      </c>
      <c r="Q69" s="308">
        <v>0.17371937639198218</v>
      </c>
      <c r="R69" s="307">
        <v>0.1733278955954323</v>
      </c>
      <c r="S69" s="307">
        <v>0.16414777497900923</v>
      </c>
      <c r="T69" s="307">
        <v>0.17377049180327869</v>
      </c>
      <c r="U69" s="308">
        <v>0.1765834932821497</v>
      </c>
      <c r="V69" s="307">
        <v>0.16267942583732056</v>
      </c>
      <c r="W69" s="307">
        <v>0.16094032549728751</v>
      </c>
      <c r="X69" s="307">
        <v>0.17299240910906913</v>
      </c>
      <c r="Y69" s="308">
        <v>0.15169660678642716</v>
      </c>
      <c r="Z69" s="307">
        <v>0.18034398034398033</v>
      </c>
      <c r="AA69" s="307">
        <v>0.17167577413479052</v>
      </c>
      <c r="AB69" s="309">
        <v>0.17482517482517482</v>
      </c>
      <c r="AC69" s="308">
        <v>0.17185500000000001</v>
      </c>
      <c r="AD69" s="307">
        <v>0.1613031386571315</v>
      </c>
      <c r="AE69" s="307">
        <v>0.17747313819933308</v>
      </c>
      <c r="AF69" s="309">
        <v>0.20688350983358547</v>
      </c>
      <c r="AG69" s="582">
        <f t="shared" si="44"/>
        <v>0.19899536321483771</v>
      </c>
      <c r="AH69" s="583">
        <f t="shared" si="45"/>
        <v>0.20762484338643278</v>
      </c>
      <c r="AI69" s="583">
        <f t="shared" si="46"/>
        <v>0.18959793434157138</v>
      </c>
      <c r="AJ69" s="584">
        <f t="shared" si="47"/>
        <v>0.19830446000737192</v>
      </c>
      <c r="AK69" s="307">
        <f t="shared" si="48"/>
        <v>0.1968</v>
      </c>
      <c r="AL69" s="307">
        <f t="shared" si="48"/>
        <v>0.22791105909888823</v>
      </c>
      <c r="AM69" s="307">
        <f t="shared" si="48"/>
        <v>0.22128325508607199</v>
      </c>
      <c r="AN69" s="309">
        <f t="shared" si="48"/>
        <v>0.23584589614740367</v>
      </c>
      <c r="AO69" s="307">
        <f t="shared" si="48"/>
        <v>0.22651746354696509</v>
      </c>
      <c r="AP69" s="307">
        <f t="shared" si="48"/>
        <v>0.17364069155600101</v>
      </c>
      <c r="AQ69" s="307">
        <f t="shared" si="48"/>
        <v>0.19217642425833553</v>
      </c>
      <c r="AR69" s="309">
        <f t="shared" si="48"/>
        <v>0.19352351580570548</v>
      </c>
      <c r="AS69" s="307">
        <f t="shared" ref="AS69" si="54">AS47/AS$42</f>
        <v>0.17370768827079508</v>
      </c>
      <c r="AT69" s="307">
        <f t="shared" ref="AT69" si="55">AT47/AT$42</f>
        <v>0.17298772169167803</v>
      </c>
    </row>
    <row r="70" spans="1:46">
      <c r="L70" s="305"/>
      <c r="Q70" s="311"/>
      <c r="U70" s="311"/>
      <c r="Y70" s="311"/>
      <c r="AA70" s="312"/>
      <c r="AB70" s="382"/>
      <c r="AC70" s="312"/>
      <c r="AF70" s="382"/>
      <c r="AG70" s="312"/>
      <c r="AJ70" s="382"/>
      <c r="AK70" s="312"/>
      <c r="AN70" s="382"/>
      <c r="AO70" s="312"/>
      <c r="AR70" s="382"/>
      <c r="AS70" s="312"/>
    </row>
    <row r="72" spans="1:46" ht="10.5">
      <c r="A72" s="417" t="s">
        <v>1064</v>
      </c>
      <c r="B72" s="63"/>
      <c r="C72" s="302"/>
      <c r="D72" s="303"/>
      <c r="E72" s="303"/>
      <c r="F72" s="63"/>
      <c r="G72" s="63"/>
      <c r="H72" s="63"/>
      <c r="I72" s="63"/>
      <c r="J72" s="63"/>
      <c r="K72" s="63"/>
    </row>
    <row r="73" spans="1:46" ht="10.5">
      <c r="A73" s="128" t="s">
        <v>276</v>
      </c>
      <c r="B73" s="868"/>
      <c r="C73" s="868"/>
      <c r="D73" s="868"/>
      <c r="E73" s="868"/>
      <c r="F73" s="867">
        <f>SUM(F74:F76)</f>
        <v>8941</v>
      </c>
      <c r="G73" s="867">
        <f t="shared" ref="G73:J73" si="56">SUM(G74:G76)</f>
        <v>7731</v>
      </c>
      <c r="H73" s="867">
        <f t="shared" si="56"/>
        <v>8856</v>
      </c>
      <c r="I73" s="908">
        <f t="shared" si="56"/>
        <v>12813.712785259837</v>
      </c>
      <c r="J73" s="908">
        <f t="shared" si="56"/>
        <v>15428</v>
      </c>
      <c r="K73" s="908">
        <f>SUM(K74:K76)</f>
        <v>17795</v>
      </c>
      <c r="M73" s="869"/>
      <c r="N73" s="592"/>
    </row>
    <row r="74" spans="1:46">
      <c r="A74" s="41" t="s">
        <v>403</v>
      </c>
      <c r="B74" s="592"/>
      <c r="C74" s="592"/>
      <c r="D74" s="592"/>
      <c r="E74" s="592"/>
      <c r="F74" s="592">
        <v>4123</v>
      </c>
      <c r="G74" s="592">
        <v>3299</v>
      </c>
      <c r="H74" s="592">
        <v>3653</v>
      </c>
      <c r="I74" s="592">
        <v>5332.6370679466063</v>
      </c>
      <c r="J74" s="592">
        <v>6313</v>
      </c>
      <c r="K74" s="592">
        <v>8293</v>
      </c>
      <c r="M74" s="870"/>
      <c r="N74" s="592"/>
    </row>
    <row r="75" spans="1:46">
      <c r="A75" s="41" t="s">
        <v>374</v>
      </c>
      <c r="B75" s="592"/>
      <c r="C75" s="592"/>
      <c r="D75" s="592"/>
      <c r="E75" s="592"/>
      <c r="F75" s="592">
        <v>3213</v>
      </c>
      <c r="G75" s="592">
        <v>2961.9999999999995</v>
      </c>
      <c r="H75" s="592">
        <v>3526</v>
      </c>
      <c r="I75" s="592">
        <v>4876.3044898889284</v>
      </c>
      <c r="J75" s="592">
        <v>6585</v>
      </c>
      <c r="K75" s="592">
        <v>6905</v>
      </c>
      <c r="M75" s="870"/>
      <c r="N75" s="592"/>
    </row>
    <row r="76" spans="1:46">
      <c r="A76" s="41" t="s">
        <v>375</v>
      </c>
      <c r="B76" s="592"/>
      <c r="C76" s="592"/>
      <c r="D76" s="592"/>
      <c r="E76" s="592"/>
      <c r="F76" s="592">
        <v>1605</v>
      </c>
      <c r="G76" s="592">
        <v>1470</v>
      </c>
      <c r="H76" s="592">
        <v>1677</v>
      </c>
      <c r="I76" s="592">
        <v>2604.7712274243027</v>
      </c>
      <c r="J76" s="592">
        <v>2530</v>
      </c>
      <c r="K76" s="592">
        <v>2597</v>
      </c>
      <c r="M76" s="870"/>
      <c r="N76" s="592"/>
    </row>
    <row r="77" spans="1:46">
      <c r="B77" s="592"/>
      <c r="C77" s="592"/>
      <c r="D77" s="592"/>
      <c r="E77" s="592"/>
      <c r="F77" s="592"/>
      <c r="G77" s="592"/>
      <c r="H77" s="592">
        <v>0</v>
      </c>
      <c r="I77" s="592"/>
      <c r="J77" s="592"/>
      <c r="K77" s="592"/>
      <c r="M77" s="592"/>
      <c r="N77" s="592"/>
    </row>
    <row r="78" spans="1:46" ht="10.5">
      <c r="A78" s="128" t="s">
        <v>64</v>
      </c>
      <c r="B78" s="867"/>
      <c r="C78" s="867"/>
      <c r="D78" s="867"/>
      <c r="E78" s="867"/>
      <c r="F78" s="867">
        <v>6380</v>
      </c>
      <c r="G78" s="867">
        <v>4636</v>
      </c>
      <c r="H78" s="867">
        <v>5297.0000000000009</v>
      </c>
      <c r="I78" s="867">
        <v>6845.2045232223627</v>
      </c>
      <c r="J78" s="867">
        <v>8471</v>
      </c>
      <c r="K78" s="867">
        <v>7760</v>
      </c>
      <c r="M78" s="592"/>
      <c r="N78" s="592"/>
    </row>
    <row r="79" spans="1:46">
      <c r="A79" s="41" t="s">
        <v>376</v>
      </c>
      <c r="B79" s="592"/>
      <c r="C79" s="592"/>
      <c r="D79" s="592"/>
      <c r="E79" s="592"/>
      <c r="F79" s="592">
        <v>2564</v>
      </c>
      <c r="G79" s="592">
        <v>2013</v>
      </c>
      <c r="H79" s="592">
        <v>2323</v>
      </c>
      <c r="I79" s="592">
        <v>2869.9747868270888</v>
      </c>
      <c r="J79" s="592">
        <v>4040</v>
      </c>
      <c r="K79" s="592">
        <v>3250</v>
      </c>
      <c r="M79" s="592"/>
      <c r="N79" s="592"/>
    </row>
    <row r="80" spans="1:46">
      <c r="A80" s="41" t="s">
        <v>377</v>
      </c>
      <c r="B80" s="592"/>
      <c r="C80" s="592"/>
      <c r="D80" s="592"/>
      <c r="E80" s="592"/>
      <c r="F80" s="592">
        <v>1483</v>
      </c>
      <c r="G80" s="592">
        <v>982.99999999999989</v>
      </c>
      <c r="H80" s="592">
        <v>1083</v>
      </c>
      <c r="I80" s="592">
        <v>1288.0641560114236</v>
      </c>
      <c r="J80" s="592">
        <v>1638</v>
      </c>
      <c r="K80" s="592">
        <v>1819</v>
      </c>
      <c r="M80" s="592"/>
      <c r="N80" s="592"/>
    </row>
    <row r="81" spans="1:14">
      <c r="A81" s="41" t="s">
        <v>378</v>
      </c>
      <c r="B81" s="592"/>
      <c r="C81" s="592"/>
      <c r="D81" s="592"/>
      <c r="E81" s="592"/>
      <c r="F81" s="592">
        <v>1044</v>
      </c>
      <c r="G81" s="592">
        <v>949</v>
      </c>
      <c r="H81" s="592">
        <v>947</v>
      </c>
      <c r="I81" s="592">
        <v>1359.6665697587744</v>
      </c>
      <c r="J81" s="592">
        <v>1463</v>
      </c>
      <c r="K81" s="592">
        <v>1409</v>
      </c>
      <c r="M81" s="592"/>
      <c r="N81" s="592"/>
    </row>
    <row r="82" spans="1:14">
      <c r="A82" s="41" t="s">
        <v>1063</v>
      </c>
      <c r="B82" s="592"/>
      <c r="C82" s="592"/>
      <c r="D82" s="592"/>
      <c r="E82" s="592"/>
      <c r="F82" s="592">
        <v>0</v>
      </c>
      <c r="G82" s="592">
        <v>0</v>
      </c>
      <c r="H82" s="592">
        <v>0</v>
      </c>
      <c r="I82" s="592">
        <v>0</v>
      </c>
      <c r="J82" s="592">
        <v>267</v>
      </c>
      <c r="K82" s="592">
        <v>333</v>
      </c>
      <c r="M82" s="592"/>
      <c r="N82" s="592"/>
    </row>
    <row r="83" spans="1:14">
      <c r="A83" s="41" t="s">
        <v>1065</v>
      </c>
      <c r="B83" s="592"/>
      <c r="C83" s="592"/>
      <c r="D83" s="592"/>
      <c r="E83" s="592"/>
      <c r="F83" s="592">
        <v>0</v>
      </c>
      <c r="G83" s="592">
        <v>0</v>
      </c>
      <c r="H83" s="592">
        <v>0</v>
      </c>
      <c r="I83" s="592">
        <v>487</v>
      </c>
      <c r="J83" s="592">
        <v>213</v>
      </c>
      <c r="K83" s="592">
        <v>19</v>
      </c>
      <c r="M83" s="592"/>
      <c r="N83" s="592"/>
    </row>
    <row r="84" spans="1:14">
      <c r="A84" s="41" t="s">
        <v>274</v>
      </c>
      <c r="B84" s="592"/>
      <c r="C84" s="592"/>
      <c r="D84" s="592"/>
      <c r="E84" s="592"/>
      <c r="F84" s="871">
        <v>1289</v>
      </c>
      <c r="G84" s="871">
        <v>691</v>
      </c>
      <c r="H84" s="871">
        <v>944</v>
      </c>
      <c r="I84" s="871">
        <v>840</v>
      </c>
      <c r="J84" s="871">
        <v>850</v>
      </c>
      <c r="K84" s="871">
        <v>930</v>
      </c>
      <c r="L84" s="592"/>
      <c r="M84" s="592"/>
      <c r="N84" s="592"/>
    </row>
    <row r="85" spans="1:14">
      <c r="B85" s="592"/>
      <c r="C85" s="592"/>
      <c r="D85" s="592"/>
      <c r="E85" s="592"/>
      <c r="F85" s="871"/>
      <c r="G85" s="871"/>
      <c r="H85" s="871"/>
      <c r="I85" s="871"/>
      <c r="J85" s="871"/>
      <c r="K85" s="871"/>
      <c r="L85" s="592"/>
      <c r="M85" s="592"/>
      <c r="N85" s="592"/>
    </row>
    <row r="86" spans="1:14" ht="10.5">
      <c r="A86" s="128" t="s">
        <v>379</v>
      </c>
      <c r="B86" s="867"/>
      <c r="C86" s="867"/>
      <c r="D86" s="867"/>
      <c r="E86" s="867"/>
      <c r="F86" s="868">
        <f>SUM(F87:F96)</f>
        <v>9431</v>
      </c>
      <c r="G86" s="868">
        <f t="shared" ref="G86" si="57">SUM(G87:G96)</f>
        <v>9834</v>
      </c>
      <c r="H86" s="868">
        <f t="shared" ref="H86" si="58">SUM(H87:H96)</f>
        <v>8817</v>
      </c>
      <c r="I86" s="868">
        <f>SUM(I87:I96)</f>
        <v>8327.0918001631926</v>
      </c>
      <c r="J86" s="868">
        <f t="shared" ref="J86:K86" si="59">SUM(J87:J96)</f>
        <v>8626</v>
      </c>
      <c r="K86" s="868">
        <f t="shared" si="59"/>
        <v>8719</v>
      </c>
      <c r="L86" s="592"/>
      <c r="M86" s="592"/>
      <c r="N86" s="592"/>
    </row>
    <row r="87" spans="1:14">
      <c r="A87" s="41" t="s">
        <v>381</v>
      </c>
      <c r="B87" s="592"/>
      <c r="C87" s="592"/>
      <c r="D87" s="592"/>
      <c r="E87" s="592"/>
      <c r="F87" s="871">
        <v>1179</v>
      </c>
      <c r="G87" s="871">
        <v>1098</v>
      </c>
      <c r="H87" s="871">
        <v>1234</v>
      </c>
      <c r="I87" s="871">
        <v>1247.4662313352308</v>
      </c>
      <c r="J87" s="871">
        <v>1405</v>
      </c>
      <c r="K87" s="871">
        <v>1468</v>
      </c>
      <c r="L87" s="592"/>
      <c r="M87" s="592"/>
      <c r="N87" s="592"/>
    </row>
    <row r="88" spans="1:14">
      <c r="A88" s="41" t="s">
        <v>404</v>
      </c>
      <c r="B88" s="592"/>
      <c r="C88" s="592"/>
      <c r="D88" s="592"/>
      <c r="E88" s="592"/>
      <c r="F88" s="871">
        <v>0</v>
      </c>
      <c r="G88" s="871">
        <v>530</v>
      </c>
      <c r="H88" s="871">
        <v>563</v>
      </c>
      <c r="I88" s="871">
        <v>786.38061856460752</v>
      </c>
      <c r="J88" s="871">
        <v>896</v>
      </c>
      <c r="K88" s="871">
        <v>1386</v>
      </c>
      <c r="L88" s="592"/>
      <c r="M88" s="592"/>
      <c r="N88" s="592"/>
    </row>
    <row r="89" spans="1:14" ht="12.75" customHeight="1">
      <c r="A89" s="41" t="s">
        <v>406</v>
      </c>
      <c r="B89" s="592"/>
      <c r="C89" s="592"/>
      <c r="D89" s="592"/>
      <c r="E89" s="592"/>
      <c r="F89" s="871">
        <v>0</v>
      </c>
      <c r="G89" s="871">
        <v>322</v>
      </c>
      <c r="H89" s="871">
        <v>366.99999999999994</v>
      </c>
      <c r="I89" s="871">
        <v>424.2380602085392</v>
      </c>
      <c r="J89" s="871">
        <v>489</v>
      </c>
      <c r="K89" s="871">
        <v>565</v>
      </c>
      <c r="L89" s="592"/>
      <c r="M89" s="592"/>
      <c r="N89" s="592"/>
    </row>
    <row r="90" spans="1:14">
      <c r="A90" s="41" t="s">
        <v>383</v>
      </c>
      <c r="B90" s="592"/>
      <c r="C90" s="592"/>
      <c r="D90" s="592"/>
      <c r="E90" s="592"/>
      <c r="F90" s="871">
        <v>576</v>
      </c>
      <c r="G90" s="871">
        <v>520</v>
      </c>
      <c r="H90" s="871">
        <v>517</v>
      </c>
      <c r="I90" s="871">
        <v>638.56300232250715</v>
      </c>
      <c r="J90" s="871">
        <v>976</v>
      </c>
      <c r="K90" s="871">
        <v>558</v>
      </c>
      <c r="L90" s="592"/>
      <c r="M90" s="592"/>
      <c r="N90" s="592"/>
    </row>
    <row r="91" spans="1:14" ht="12.75" customHeight="1">
      <c r="A91" s="41" t="s">
        <v>382</v>
      </c>
      <c r="B91" s="592"/>
      <c r="C91" s="592"/>
      <c r="D91" s="592"/>
      <c r="E91" s="592"/>
      <c r="F91" s="871">
        <v>607</v>
      </c>
      <c r="G91" s="871">
        <v>492</v>
      </c>
      <c r="H91" s="871">
        <v>537</v>
      </c>
      <c r="I91" s="871">
        <v>578.9990897676829</v>
      </c>
      <c r="J91" s="871">
        <v>590</v>
      </c>
      <c r="K91" s="871">
        <v>546</v>
      </c>
      <c r="L91" s="592"/>
      <c r="M91" s="592"/>
      <c r="N91" s="592"/>
    </row>
    <row r="92" spans="1:14">
      <c r="A92" s="41" t="s">
        <v>405</v>
      </c>
      <c r="B92" s="592"/>
      <c r="C92" s="592"/>
      <c r="D92" s="592"/>
      <c r="E92" s="592"/>
      <c r="F92" s="871">
        <v>0</v>
      </c>
      <c r="G92" s="871">
        <v>304</v>
      </c>
      <c r="H92" s="871">
        <v>378</v>
      </c>
      <c r="I92" s="871">
        <v>515.49829019650065</v>
      </c>
      <c r="J92" s="871">
        <v>622</v>
      </c>
      <c r="K92" s="871">
        <v>466</v>
      </c>
      <c r="L92" s="592"/>
      <c r="M92" s="592"/>
      <c r="N92" s="592"/>
    </row>
    <row r="93" spans="1:14" ht="12.75" customHeight="1">
      <c r="A93" s="41" t="s">
        <v>1066</v>
      </c>
      <c r="B93" s="592"/>
      <c r="C93" s="592"/>
      <c r="D93" s="592"/>
      <c r="E93" s="592"/>
      <c r="F93" s="871">
        <v>0</v>
      </c>
      <c r="G93" s="871">
        <v>0</v>
      </c>
      <c r="H93" s="871">
        <v>0</v>
      </c>
      <c r="I93" s="871">
        <v>0</v>
      </c>
      <c r="J93" s="871">
        <v>437</v>
      </c>
      <c r="K93" s="871">
        <v>390</v>
      </c>
      <c r="L93" s="592"/>
      <c r="M93" s="592"/>
      <c r="N93" s="592"/>
    </row>
    <row r="94" spans="1:14">
      <c r="A94" s="41" t="s">
        <v>384</v>
      </c>
      <c r="B94" s="592"/>
      <c r="C94" s="592"/>
      <c r="D94" s="592"/>
      <c r="E94" s="592"/>
      <c r="F94" s="871">
        <v>519</v>
      </c>
      <c r="G94" s="871">
        <v>456</v>
      </c>
      <c r="H94" s="871">
        <v>319</v>
      </c>
      <c r="I94" s="871">
        <v>291.31474834807568</v>
      </c>
      <c r="J94" s="871">
        <v>0</v>
      </c>
      <c r="K94" s="871">
        <v>0</v>
      </c>
      <c r="L94" s="592"/>
      <c r="M94" s="592"/>
      <c r="N94" s="592"/>
    </row>
    <row r="95" spans="1:14">
      <c r="A95" s="41" t="s">
        <v>380</v>
      </c>
      <c r="B95" s="592"/>
      <c r="C95" s="592"/>
      <c r="D95" s="592"/>
      <c r="E95" s="592"/>
      <c r="F95" s="871">
        <v>2957.9999999999995</v>
      </c>
      <c r="G95" s="871">
        <v>2559</v>
      </c>
      <c r="H95" s="871">
        <v>2421</v>
      </c>
      <c r="I95" s="871">
        <v>1249.0323261179196</v>
      </c>
      <c r="J95" s="871">
        <v>0</v>
      </c>
      <c r="K95" s="871">
        <v>0</v>
      </c>
      <c r="L95" s="592"/>
      <c r="M95" s="592"/>
      <c r="N95" s="592"/>
    </row>
    <row r="96" spans="1:14">
      <c r="A96" s="41" t="s">
        <v>274</v>
      </c>
      <c r="B96" s="592"/>
      <c r="C96" s="592"/>
      <c r="D96" s="592"/>
      <c r="E96" s="592"/>
      <c r="F96" s="871">
        <v>3592</v>
      </c>
      <c r="G96" s="871">
        <v>3553</v>
      </c>
      <c r="H96" s="871">
        <v>2481</v>
      </c>
      <c r="I96" s="871">
        <v>2595.5994333021276</v>
      </c>
      <c r="J96" s="871">
        <v>3211</v>
      </c>
      <c r="K96" s="871">
        <v>3340</v>
      </c>
      <c r="L96" s="592"/>
      <c r="M96" s="592"/>
      <c r="N96" s="592"/>
    </row>
    <row r="97" spans="1:14">
      <c r="B97" s="592"/>
      <c r="C97" s="592"/>
      <c r="D97" s="592"/>
      <c r="E97" s="592"/>
      <c r="F97" s="871"/>
      <c r="G97" s="871"/>
      <c r="H97" s="871"/>
      <c r="I97" s="871"/>
      <c r="J97" s="871"/>
      <c r="K97" s="871"/>
      <c r="L97" s="592"/>
      <c r="M97" s="592"/>
      <c r="N97" s="592"/>
    </row>
    <row r="98" spans="1:14" ht="10.5">
      <c r="A98" s="128" t="s">
        <v>385</v>
      </c>
      <c r="B98" s="867"/>
      <c r="C98" s="867"/>
      <c r="D98" s="867"/>
      <c r="E98" s="867"/>
      <c r="F98" s="868">
        <v>5432</v>
      </c>
      <c r="G98" s="868">
        <v>5020</v>
      </c>
      <c r="H98" s="868">
        <v>5489</v>
      </c>
      <c r="I98" s="868">
        <v>7757.0578959144341</v>
      </c>
      <c r="J98" s="868">
        <v>9900</v>
      </c>
      <c r="K98" s="868">
        <v>10832</v>
      </c>
      <c r="L98" s="592"/>
      <c r="M98" s="592"/>
      <c r="N98" s="592"/>
    </row>
    <row r="99" spans="1:14">
      <c r="A99" s="41" t="s">
        <v>386</v>
      </c>
      <c r="B99" s="592"/>
      <c r="C99" s="592"/>
      <c r="D99" s="592"/>
      <c r="E99" s="592"/>
      <c r="F99" s="871">
        <v>2482</v>
      </c>
      <c r="G99" s="871">
        <v>2125</v>
      </c>
      <c r="H99" s="871">
        <v>2460</v>
      </c>
      <c r="I99" s="871">
        <v>3510.6582043927729</v>
      </c>
      <c r="J99" s="871">
        <v>4042</v>
      </c>
      <c r="K99" s="871">
        <v>4309</v>
      </c>
      <c r="L99" s="592"/>
      <c r="M99" s="592"/>
      <c r="N99" s="592"/>
    </row>
    <row r="100" spans="1:14">
      <c r="A100" s="41" t="s">
        <v>1068</v>
      </c>
      <c r="B100" s="592"/>
      <c r="C100" s="592"/>
      <c r="D100" s="592"/>
      <c r="E100" s="592"/>
      <c r="F100" s="871">
        <v>521</v>
      </c>
      <c r="G100" s="871">
        <v>540</v>
      </c>
      <c r="H100" s="871">
        <v>493</v>
      </c>
      <c r="I100" s="871">
        <v>1038.9655455360555</v>
      </c>
      <c r="J100" s="871">
        <v>1745</v>
      </c>
      <c r="K100" s="871">
        <v>2472</v>
      </c>
      <c r="L100" s="592"/>
      <c r="M100" s="592"/>
      <c r="N100" s="592"/>
    </row>
    <row r="101" spans="1:14">
      <c r="A101" s="41" t="s">
        <v>407</v>
      </c>
      <c r="B101" s="592"/>
      <c r="C101" s="592"/>
      <c r="D101" s="592"/>
      <c r="E101" s="592"/>
      <c r="F101" s="871">
        <v>0</v>
      </c>
      <c r="G101" s="871">
        <v>481</v>
      </c>
      <c r="H101" s="871">
        <v>632</v>
      </c>
      <c r="I101" s="871">
        <v>766.27388424156857</v>
      </c>
      <c r="J101" s="871">
        <v>817</v>
      </c>
      <c r="K101" s="871">
        <v>1072</v>
      </c>
      <c r="L101" s="592"/>
      <c r="M101" s="592"/>
      <c r="N101" s="592"/>
    </row>
    <row r="102" spans="1:14">
      <c r="A102" s="41" t="s">
        <v>1067</v>
      </c>
      <c r="B102" s="592"/>
      <c r="C102" s="592"/>
      <c r="D102" s="592"/>
      <c r="E102" s="592"/>
      <c r="F102" s="871">
        <v>0</v>
      </c>
      <c r="G102" s="871">
        <v>0</v>
      </c>
      <c r="H102" s="871">
        <v>0</v>
      </c>
      <c r="I102" s="871">
        <v>0</v>
      </c>
      <c r="J102" s="871">
        <v>443</v>
      </c>
      <c r="K102" s="871">
        <v>430</v>
      </c>
      <c r="L102" s="592"/>
      <c r="M102" s="592"/>
      <c r="N102" s="592"/>
    </row>
    <row r="103" spans="1:14">
      <c r="A103" s="41" t="s">
        <v>274</v>
      </c>
      <c r="B103" s="592"/>
      <c r="C103" s="592"/>
      <c r="D103" s="592"/>
      <c r="E103" s="592"/>
      <c r="F103" s="871">
        <v>2429</v>
      </c>
      <c r="G103" s="871">
        <v>2354.9999999999995</v>
      </c>
      <c r="H103" s="871">
        <v>1904</v>
      </c>
      <c r="I103" s="871">
        <v>2441.1602617440367</v>
      </c>
      <c r="J103" s="871">
        <v>2853</v>
      </c>
      <c r="K103" s="871">
        <v>2549</v>
      </c>
      <c r="L103" s="592"/>
      <c r="M103" s="592"/>
      <c r="N103" s="592"/>
    </row>
    <row r="104" spans="1:14">
      <c r="B104" s="592"/>
      <c r="C104" s="592"/>
      <c r="D104" s="592"/>
      <c r="E104" s="592"/>
      <c r="F104" s="871"/>
      <c r="G104" s="871">
        <v>0</v>
      </c>
      <c r="H104" s="871">
        <v>0</v>
      </c>
      <c r="I104" s="871">
        <v>0</v>
      </c>
      <c r="J104" s="871"/>
      <c r="K104" s="871"/>
      <c r="L104" s="592"/>
      <c r="M104" s="592"/>
      <c r="N104" s="592"/>
    </row>
    <row r="105" spans="1:14" ht="10.5">
      <c r="A105" s="128" t="s">
        <v>388</v>
      </c>
      <c r="B105" s="867"/>
      <c r="C105" s="867"/>
      <c r="D105" s="867"/>
      <c r="E105" s="867"/>
      <c r="F105" s="868">
        <v>10665</v>
      </c>
      <c r="G105" s="868">
        <v>10056.999999999998</v>
      </c>
      <c r="H105" s="868">
        <v>11186</v>
      </c>
      <c r="I105" s="868">
        <v>13950.932995440176</v>
      </c>
      <c r="J105" s="868">
        <v>17918</v>
      </c>
      <c r="K105" s="868">
        <v>18498</v>
      </c>
      <c r="L105" s="592"/>
      <c r="M105" s="592"/>
      <c r="N105" s="592"/>
    </row>
    <row r="106" spans="1:14">
      <c r="A106" s="41" t="s">
        <v>389</v>
      </c>
      <c r="B106" s="592"/>
      <c r="C106" s="592"/>
      <c r="D106" s="592"/>
      <c r="E106" s="592"/>
      <c r="F106" s="871">
        <v>4465</v>
      </c>
      <c r="G106" s="871">
        <v>4568</v>
      </c>
      <c r="H106" s="871">
        <v>4801</v>
      </c>
      <c r="I106" s="871">
        <v>6055.9670354451137</v>
      </c>
      <c r="J106" s="871">
        <v>10300</v>
      </c>
      <c r="K106" s="871">
        <v>10444</v>
      </c>
      <c r="L106" s="592"/>
      <c r="M106" s="592"/>
      <c r="N106" s="592"/>
    </row>
    <row r="107" spans="1:14">
      <c r="A107" s="41" t="s">
        <v>390</v>
      </c>
      <c r="B107" s="592"/>
      <c r="C107" s="592"/>
      <c r="D107" s="592"/>
      <c r="E107" s="592"/>
      <c r="F107" s="871">
        <v>1791</v>
      </c>
      <c r="G107" s="871">
        <v>1881</v>
      </c>
      <c r="H107" s="871">
        <v>2216</v>
      </c>
      <c r="I107" s="871">
        <v>2453.7340884550081</v>
      </c>
      <c r="J107" s="871">
        <v>2372</v>
      </c>
      <c r="K107" s="871">
        <v>2812</v>
      </c>
      <c r="L107" s="592"/>
      <c r="M107" s="592"/>
      <c r="N107" s="592"/>
    </row>
    <row r="108" spans="1:14">
      <c r="A108" s="41" t="s">
        <v>391</v>
      </c>
      <c r="B108" s="592"/>
      <c r="C108" s="592"/>
      <c r="D108" s="592"/>
      <c r="E108" s="592"/>
      <c r="F108" s="871">
        <v>1388</v>
      </c>
      <c r="G108" s="871">
        <v>1174</v>
      </c>
      <c r="H108" s="871">
        <v>1553.9999999999998</v>
      </c>
      <c r="I108" s="871">
        <v>1637.6668759142742</v>
      </c>
      <c r="J108" s="871">
        <v>1588</v>
      </c>
      <c r="K108" s="871">
        <v>1777</v>
      </c>
      <c r="L108" s="592"/>
      <c r="M108" s="592"/>
      <c r="N108" s="592"/>
    </row>
    <row r="109" spans="1:14">
      <c r="A109" s="41" t="s">
        <v>392</v>
      </c>
      <c r="B109" s="592"/>
      <c r="C109" s="592"/>
      <c r="D109" s="592"/>
      <c r="E109" s="592"/>
      <c r="F109" s="871">
        <v>770</v>
      </c>
      <c r="G109" s="871">
        <v>634</v>
      </c>
      <c r="H109" s="871">
        <v>801</v>
      </c>
      <c r="I109" s="871">
        <v>933.21484169715234</v>
      </c>
      <c r="J109" s="871">
        <v>997</v>
      </c>
      <c r="K109" s="871">
        <v>990</v>
      </c>
      <c r="L109" s="592"/>
      <c r="M109" s="592"/>
      <c r="N109" s="592"/>
    </row>
    <row r="110" spans="1:14">
      <c r="A110" s="41" t="s">
        <v>1069</v>
      </c>
      <c r="B110" s="592"/>
      <c r="C110" s="592"/>
      <c r="D110" s="592"/>
      <c r="E110" s="592"/>
      <c r="F110" s="871">
        <v>0</v>
      </c>
      <c r="G110" s="871">
        <v>0</v>
      </c>
      <c r="H110" s="871">
        <v>0</v>
      </c>
      <c r="I110" s="871">
        <v>0</v>
      </c>
      <c r="J110" s="871">
        <v>877</v>
      </c>
      <c r="K110" s="871">
        <v>740</v>
      </c>
      <c r="L110" s="592"/>
      <c r="M110" s="592"/>
      <c r="N110" s="592"/>
    </row>
    <row r="111" spans="1:14">
      <c r="A111" s="41" t="s">
        <v>1070</v>
      </c>
      <c r="B111" s="592"/>
      <c r="C111" s="592"/>
      <c r="D111" s="592"/>
      <c r="E111" s="592"/>
      <c r="F111" s="871">
        <v>0</v>
      </c>
      <c r="G111" s="871">
        <v>0</v>
      </c>
      <c r="H111" s="871">
        <v>0</v>
      </c>
      <c r="I111" s="871">
        <v>0</v>
      </c>
      <c r="J111" s="871">
        <v>644</v>
      </c>
      <c r="K111" s="871">
        <v>699</v>
      </c>
      <c r="L111" s="592"/>
      <c r="M111" s="592"/>
      <c r="N111" s="592"/>
    </row>
    <row r="112" spans="1:14">
      <c r="A112" s="41" t="s">
        <v>1071</v>
      </c>
      <c r="B112" s="592"/>
      <c r="C112" s="592"/>
      <c r="D112" s="592"/>
      <c r="E112" s="592"/>
      <c r="F112" s="871">
        <v>0</v>
      </c>
      <c r="G112" s="871">
        <v>0</v>
      </c>
      <c r="H112" s="871">
        <v>0</v>
      </c>
      <c r="I112" s="871">
        <v>0</v>
      </c>
      <c r="J112" s="871">
        <v>254</v>
      </c>
      <c r="K112" s="871">
        <v>333</v>
      </c>
      <c r="L112" s="592"/>
      <c r="M112" s="592"/>
      <c r="N112" s="592"/>
    </row>
    <row r="113" spans="1:14">
      <c r="A113" s="41" t="s">
        <v>1072</v>
      </c>
      <c r="B113" s="592"/>
      <c r="C113" s="592"/>
      <c r="D113" s="592"/>
      <c r="E113" s="592"/>
      <c r="F113" s="871">
        <v>0</v>
      </c>
      <c r="G113" s="871">
        <v>0</v>
      </c>
      <c r="H113" s="871">
        <v>0</v>
      </c>
      <c r="I113" s="871">
        <v>0</v>
      </c>
      <c r="J113" s="871">
        <v>162</v>
      </c>
      <c r="K113" s="871">
        <v>138</v>
      </c>
      <c r="L113" s="592"/>
      <c r="M113" s="592"/>
      <c r="N113" s="592"/>
    </row>
    <row r="114" spans="1:14">
      <c r="A114" s="41" t="s">
        <v>274</v>
      </c>
      <c r="B114" s="592"/>
      <c r="C114" s="592"/>
      <c r="D114" s="592"/>
      <c r="E114" s="592"/>
      <c r="F114" s="871">
        <v>2251</v>
      </c>
      <c r="G114" s="871">
        <v>1800</v>
      </c>
      <c r="H114" s="871">
        <v>1814</v>
      </c>
      <c r="I114" s="871">
        <v>2870.3501539286272</v>
      </c>
      <c r="J114" s="871">
        <v>724</v>
      </c>
      <c r="K114" s="871">
        <v>565</v>
      </c>
      <c r="L114" s="592"/>
      <c r="M114" s="592"/>
      <c r="N114" s="592"/>
    </row>
    <row r="115" spans="1:14">
      <c r="B115" s="592"/>
      <c r="C115" s="592"/>
      <c r="D115" s="592"/>
      <c r="E115" s="592"/>
      <c r="F115" s="871"/>
      <c r="G115" s="871"/>
      <c r="H115" s="871">
        <v>0</v>
      </c>
      <c r="I115" s="871"/>
      <c r="J115" s="871"/>
      <c r="K115" s="871"/>
      <c r="L115" s="592"/>
      <c r="M115" s="592"/>
      <c r="N115" s="592"/>
    </row>
    <row r="116" spans="1:14" ht="10.5">
      <c r="A116" s="128" t="s">
        <v>275</v>
      </c>
      <c r="B116" s="867"/>
      <c r="C116" s="867"/>
      <c r="D116" s="867"/>
      <c r="E116" s="867"/>
      <c r="F116" s="872">
        <f>F73+F78+F86+F98+F105</f>
        <v>40849</v>
      </c>
      <c r="G116" s="872">
        <f t="shared" ref="G116:J116" si="60">G73+G78+G86+G98+G105</f>
        <v>37278</v>
      </c>
      <c r="H116" s="872">
        <f t="shared" si="60"/>
        <v>39645</v>
      </c>
      <c r="I116" s="872">
        <f t="shared" si="60"/>
        <v>49694</v>
      </c>
      <c r="J116" s="872">
        <f t="shared" si="60"/>
        <v>60343</v>
      </c>
      <c r="K116" s="872">
        <f>K73+K78+K86+K98+K105</f>
        <v>63604</v>
      </c>
      <c r="L116" s="592"/>
      <c r="M116" s="592"/>
      <c r="N116" s="592"/>
    </row>
    <row r="117" spans="1:14" ht="10.5">
      <c r="A117" s="128"/>
      <c r="B117" s="128"/>
      <c r="C117" s="128"/>
      <c r="D117" s="128"/>
      <c r="E117" s="128"/>
      <c r="F117" s="874"/>
      <c r="G117" s="873"/>
      <c r="H117" s="874"/>
      <c r="I117" s="874"/>
      <c r="J117" s="873"/>
      <c r="K117" s="873"/>
    </row>
    <row r="118" spans="1:14" ht="10.5">
      <c r="A118" s="417" t="s">
        <v>777</v>
      </c>
      <c r="B118" s="63"/>
      <c r="C118" s="302"/>
      <c r="D118" s="303"/>
      <c r="E118" s="303"/>
      <c r="F118" s="63"/>
      <c r="G118" s="63"/>
      <c r="H118" s="63"/>
      <c r="I118" s="63"/>
      <c r="J118" s="63"/>
      <c r="K118" s="63"/>
    </row>
    <row r="119" spans="1:14" ht="10.5">
      <c r="A119" s="128" t="s">
        <v>276</v>
      </c>
      <c r="B119" s="128"/>
      <c r="C119" s="128"/>
      <c r="D119" s="128"/>
      <c r="E119" s="128"/>
      <c r="F119" s="418">
        <f>F73/$F$116</f>
        <v>0.21887928713065191</v>
      </c>
      <c r="G119" s="418">
        <f>G73/$G$116</f>
        <v>0.2073877353935297</v>
      </c>
      <c r="H119" s="418">
        <f>H73/$H$116</f>
        <v>0.22338251986379115</v>
      </c>
      <c r="I119" s="418">
        <f>I73/$I$116</f>
        <v>0.25785231185374163</v>
      </c>
      <c r="J119" s="418">
        <f>J73/$J$116</f>
        <v>0.25567174320136554</v>
      </c>
      <c r="K119" s="418">
        <f>K73/$K$116</f>
        <v>0.27977800138356079</v>
      </c>
      <c r="M119" s="435"/>
    </row>
    <row r="120" spans="1:14">
      <c r="A120" s="41" t="s">
        <v>403</v>
      </c>
      <c r="F120" s="307">
        <f t="shared" ref="F120:F160" si="61">F74/$F$116</f>
        <v>0.10093270337095156</v>
      </c>
      <c r="G120" s="307">
        <f t="shared" ref="G120:G160" si="62">G74/$G$116</f>
        <v>8.8497236976232629E-2</v>
      </c>
      <c r="H120" s="307">
        <f t="shared" ref="H120:H160" si="63">H74/$H$116</f>
        <v>9.2142767057636521E-2</v>
      </c>
      <c r="I120" s="307">
        <f t="shared" ref="I120:I160" si="64">I74/$I$116</f>
        <v>0.10730947534806226</v>
      </c>
      <c r="J120" s="307">
        <f t="shared" ref="J120:J160" si="65">J74/$J$116</f>
        <v>0.1046185970203669</v>
      </c>
      <c r="K120" s="307">
        <f t="shared" ref="K120:K160" si="66">K74/$K$116</f>
        <v>0.1303848814539966</v>
      </c>
      <c r="M120" s="307"/>
    </row>
    <row r="121" spans="1:14">
      <c r="A121" s="41" t="s">
        <v>374</v>
      </c>
      <c r="F121" s="307">
        <f t="shared" si="61"/>
        <v>7.865553624323729E-2</v>
      </c>
      <c r="G121" s="307">
        <f t="shared" si="62"/>
        <v>7.9457052416975149E-2</v>
      </c>
      <c r="H121" s="307">
        <f t="shared" si="63"/>
        <v>8.893933661243536E-2</v>
      </c>
      <c r="I121" s="307">
        <f t="shared" si="64"/>
        <v>9.8126624741194685E-2</v>
      </c>
      <c r="J121" s="307">
        <f t="shared" si="65"/>
        <v>0.10912616210662381</v>
      </c>
      <c r="K121" s="307">
        <f t="shared" si="66"/>
        <v>0.10856235456889504</v>
      </c>
      <c r="M121" s="307"/>
    </row>
    <row r="122" spans="1:14">
      <c r="A122" s="41" t="s">
        <v>375</v>
      </c>
      <c r="F122" s="307">
        <f t="shared" si="61"/>
        <v>3.9291047516463069E-2</v>
      </c>
      <c r="G122" s="307">
        <f t="shared" si="62"/>
        <v>3.9433446000321906E-2</v>
      </c>
      <c r="H122" s="307">
        <f t="shared" si="63"/>
        <v>4.2300416193719256E-2</v>
      </c>
      <c r="I122" s="307">
        <f t="shared" si="64"/>
        <v>5.2416211764484702E-2</v>
      </c>
      <c r="J122" s="307">
        <f t="shared" si="65"/>
        <v>4.1926984074374826E-2</v>
      </c>
      <c r="K122" s="307">
        <f t="shared" si="66"/>
        <v>4.0830765360669138E-2</v>
      </c>
      <c r="M122" s="307"/>
    </row>
    <row r="123" spans="1:14">
      <c r="B123" s="41" t="s">
        <v>257</v>
      </c>
      <c r="F123" s="312"/>
      <c r="G123" s="312"/>
      <c r="H123" s="312"/>
      <c r="I123" s="312"/>
      <c r="J123" s="312"/>
      <c r="K123" s="312"/>
    </row>
    <row r="124" spans="1:14" ht="10.5">
      <c r="A124" s="128" t="s">
        <v>64</v>
      </c>
      <c r="B124" s="128"/>
      <c r="C124" s="128"/>
      <c r="D124" s="128"/>
      <c r="E124" s="128"/>
      <c r="F124" s="418">
        <f t="shared" si="61"/>
        <v>0.15618497392837033</v>
      </c>
      <c r="G124" s="418">
        <f t="shared" si="62"/>
        <v>0.12436289500509684</v>
      </c>
      <c r="H124" s="418">
        <f t="shared" si="63"/>
        <v>0.13361079581283897</v>
      </c>
      <c r="I124" s="418">
        <f t="shared" si="64"/>
        <v>0.13774710273317428</v>
      </c>
      <c r="J124" s="418">
        <f t="shared" si="65"/>
        <v>0.14038082296206686</v>
      </c>
      <c r="K124" s="418">
        <f t="shared" si="66"/>
        <v>0.12200490535186466</v>
      </c>
    </row>
    <row r="125" spans="1:14">
      <c r="A125" s="41" t="s">
        <v>376</v>
      </c>
      <c r="F125" s="312">
        <f t="shared" si="61"/>
        <v>6.2767754412592719E-2</v>
      </c>
      <c r="G125" s="312">
        <f t="shared" si="62"/>
        <v>5.3999678094318368E-2</v>
      </c>
      <c r="H125" s="312">
        <f t="shared" si="63"/>
        <v>5.8595030899230675E-2</v>
      </c>
      <c r="I125" s="312">
        <f t="shared" si="64"/>
        <v>5.7752943752305885E-2</v>
      </c>
      <c r="J125" s="312">
        <f t="shared" si="65"/>
        <v>6.6950599075286277E-2</v>
      </c>
      <c r="K125" s="312">
        <f t="shared" si="66"/>
        <v>5.1097415256902083E-2</v>
      </c>
    </row>
    <row r="126" spans="1:14">
      <c r="A126" s="41" t="s">
        <v>377</v>
      </c>
      <c r="F126" s="312">
        <f t="shared" si="61"/>
        <v>3.6304438297143138E-2</v>
      </c>
      <c r="G126" s="312">
        <f t="shared" si="62"/>
        <v>2.6369440420623422E-2</v>
      </c>
      <c r="H126" s="312">
        <f t="shared" si="63"/>
        <v>2.7317442300416193E-2</v>
      </c>
      <c r="I126" s="312">
        <f t="shared" si="64"/>
        <v>2.5919912987713279E-2</v>
      </c>
      <c r="J126" s="312">
        <f t="shared" si="65"/>
        <v>2.7144822100326468E-2</v>
      </c>
      <c r="K126" s="312">
        <f t="shared" si="66"/>
        <v>2.8598830262247656E-2</v>
      </c>
    </row>
    <row r="127" spans="1:14">
      <c r="A127" s="41" t="s">
        <v>378</v>
      </c>
      <c r="F127" s="312">
        <f t="shared" si="61"/>
        <v>2.5557541188278785E-2</v>
      </c>
      <c r="G127" s="312">
        <f t="shared" si="62"/>
        <v>2.5457374322656795E-2</v>
      </c>
      <c r="H127" s="312">
        <f t="shared" si="63"/>
        <v>2.3886997099255895E-2</v>
      </c>
      <c r="I127" s="312">
        <f t="shared" si="64"/>
        <v>2.7360779364888604E-2</v>
      </c>
      <c r="J127" s="312">
        <f t="shared" si="65"/>
        <v>2.4244734269095007E-2</v>
      </c>
      <c r="K127" s="312">
        <f t="shared" si="66"/>
        <v>2.2152694799069242E-2</v>
      </c>
    </row>
    <row r="128" spans="1:14" ht="12.75" customHeight="1">
      <c r="A128" s="41" t="s">
        <v>1063</v>
      </c>
      <c r="F128" s="312">
        <f t="shared" si="61"/>
        <v>0</v>
      </c>
      <c r="G128" s="312">
        <f t="shared" si="62"/>
        <v>0</v>
      </c>
      <c r="H128" s="312">
        <f t="shared" si="63"/>
        <v>0</v>
      </c>
      <c r="I128" s="312">
        <f t="shared" si="64"/>
        <v>0</v>
      </c>
      <c r="J128" s="312">
        <f t="shared" si="65"/>
        <v>4.4247054339359992E-3</v>
      </c>
      <c r="K128" s="312">
        <f t="shared" si="66"/>
        <v>5.2355197786302749E-3</v>
      </c>
    </row>
    <row r="129" spans="1:11" ht="12.75" customHeight="1">
      <c r="A129" s="41" t="s">
        <v>1073</v>
      </c>
      <c r="F129" s="312">
        <f t="shared" si="61"/>
        <v>0</v>
      </c>
      <c r="G129" s="312">
        <f t="shared" si="62"/>
        <v>0</v>
      </c>
      <c r="H129" s="312">
        <f t="shared" si="63"/>
        <v>0</v>
      </c>
      <c r="I129" s="312">
        <f t="shared" si="64"/>
        <v>9.7999758522155592E-3</v>
      </c>
      <c r="J129" s="312">
        <f t="shared" si="65"/>
        <v>3.5298211888702916E-3</v>
      </c>
      <c r="K129" s="312">
        <f t="shared" si="66"/>
        <v>2.9872335073265834E-4</v>
      </c>
    </row>
    <row r="130" spans="1:11">
      <c r="A130" s="41" t="s">
        <v>274</v>
      </c>
      <c r="F130" s="312">
        <f t="shared" si="61"/>
        <v>3.1555240030355702E-2</v>
      </c>
      <c r="G130" s="312">
        <f t="shared" si="62"/>
        <v>1.8536402167498255E-2</v>
      </c>
      <c r="H130" s="312">
        <f t="shared" si="63"/>
        <v>2.3811325513936183E-2</v>
      </c>
      <c r="I130" s="312">
        <f t="shared" si="64"/>
        <v>1.6903449108544293E-2</v>
      </c>
      <c r="J130" s="312">
        <f t="shared" si="65"/>
        <v>1.4086140894552807E-2</v>
      </c>
      <c r="K130" s="312">
        <f t="shared" si="66"/>
        <v>1.462172190428275E-2</v>
      </c>
    </row>
    <row r="131" spans="1:11">
      <c r="F131" s="312"/>
      <c r="G131" s="312"/>
      <c r="H131" s="312"/>
      <c r="I131" s="312"/>
      <c r="J131" s="312"/>
      <c r="K131" s="312"/>
    </row>
    <row r="132" spans="1:11" ht="10.5">
      <c r="A132" s="128" t="s">
        <v>379</v>
      </c>
      <c r="B132" s="128"/>
      <c r="C132" s="128"/>
      <c r="D132" s="128"/>
      <c r="E132" s="128"/>
      <c r="F132" s="418">
        <f t="shared" si="61"/>
        <v>0.23087468481480575</v>
      </c>
      <c r="G132" s="418">
        <f t="shared" si="62"/>
        <v>0.26380170610011267</v>
      </c>
      <c r="H132" s="418">
        <f t="shared" si="63"/>
        <v>0.22239878925463488</v>
      </c>
      <c r="I132" s="418">
        <f t="shared" si="64"/>
        <v>0.16756734817408928</v>
      </c>
      <c r="J132" s="418">
        <f t="shared" si="65"/>
        <v>0.14294947218401471</v>
      </c>
      <c r="K132" s="418">
        <f t="shared" si="66"/>
        <v>0.13708257342305516</v>
      </c>
    </row>
    <row r="133" spans="1:11">
      <c r="A133" s="41" t="s">
        <v>381</v>
      </c>
      <c r="F133" s="312">
        <f t="shared" si="61"/>
        <v>2.886239565228035E-2</v>
      </c>
      <c r="G133" s="312">
        <f t="shared" si="62"/>
        <v>2.94543698696282E-2</v>
      </c>
      <c r="H133" s="312">
        <f t="shared" si="63"/>
        <v>3.1126245428175055E-2</v>
      </c>
      <c r="I133" s="312">
        <f t="shared" si="64"/>
        <v>2.510295470952692E-2</v>
      </c>
      <c r="J133" s="312">
        <f t="shared" si="65"/>
        <v>2.3283562302172579E-2</v>
      </c>
      <c r="K133" s="312">
        <f t="shared" si="66"/>
        <v>2.3080309414502231E-2</v>
      </c>
    </row>
    <row r="134" spans="1:11">
      <c r="A134" s="41" t="s">
        <v>404</v>
      </c>
      <c r="F134" s="312">
        <f t="shared" si="61"/>
        <v>0</v>
      </c>
      <c r="G134" s="312">
        <f t="shared" si="62"/>
        <v>1.4217500938891571E-2</v>
      </c>
      <c r="H134" s="312">
        <f t="shared" si="63"/>
        <v>1.4201034178332702E-2</v>
      </c>
      <c r="I134" s="312">
        <f t="shared" si="64"/>
        <v>1.5824458054586217E-2</v>
      </c>
      <c r="J134" s="312">
        <f t="shared" si="65"/>
        <v>1.4848449695905076E-2</v>
      </c>
      <c r="K134" s="312">
        <f t="shared" si="66"/>
        <v>2.1791082321866551E-2</v>
      </c>
    </row>
    <row r="135" spans="1:11" ht="12.75" customHeight="1">
      <c r="A135" s="41" t="s">
        <v>406</v>
      </c>
      <c r="F135" s="312">
        <f t="shared" si="61"/>
        <v>0</v>
      </c>
      <c r="G135" s="312">
        <f t="shared" si="62"/>
        <v>8.6378024572133696E-3</v>
      </c>
      <c r="H135" s="312">
        <f t="shared" si="63"/>
        <v>9.2571572707781553E-3</v>
      </c>
      <c r="I135" s="312">
        <f t="shared" si="64"/>
        <v>8.5370076912411798E-3</v>
      </c>
      <c r="J135" s="312">
        <f t="shared" si="65"/>
        <v>8.1036739969839091E-3</v>
      </c>
      <c r="K135" s="312">
        <f t="shared" si="66"/>
        <v>8.8830891138922084E-3</v>
      </c>
    </row>
    <row r="136" spans="1:11">
      <c r="A136" s="41" t="s">
        <v>383</v>
      </c>
      <c r="F136" s="312">
        <f t="shared" si="61"/>
        <v>1.4100712379740019E-2</v>
      </c>
      <c r="G136" s="312">
        <f t="shared" si="62"/>
        <v>1.3949246204195504E-2</v>
      </c>
      <c r="H136" s="312">
        <f t="shared" si="63"/>
        <v>1.3040736536763778E-2</v>
      </c>
      <c r="I136" s="312">
        <f t="shared" si="64"/>
        <v>1.2849901443283036E-2</v>
      </c>
      <c r="J136" s="312">
        <f t="shared" si="65"/>
        <v>1.6174204133039459E-2</v>
      </c>
      <c r="K136" s="312">
        <f t="shared" si="66"/>
        <v>8.7730331425696501E-3</v>
      </c>
    </row>
    <row r="137" spans="1:11">
      <c r="A137" s="41" t="s">
        <v>382</v>
      </c>
      <c r="F137" s="312">
        <f t="shared" si="61"/>
        <v>1.4859604886288525E-2</v>
      </c>
      <c r="G137" s="312">
        <f t="shared" si="62"/>
        <v>1.3198132947046515E-2</v>
      </c>
      <c r="H137" s="312">
        <f t="shared" si="63"/>
        <v>1.3545213772228528E-2</v>
      </c>
      <c r="I137" s="312">
        <f t="shared" si="64"/>
        <v>1.1651287675930351E-2</v>
      </c>
      <c r="J137" s="312">
        <f t="shared" si="65"/>
        <v>9.7774389738660653E-3</v>
      </c>
      <c r="K137" s="312">
        <f t="shared" si="66"/>
        <v>8.5843657631595495E-3</v>
      </c>
    </row>
    <row r="138" spans="1:11" ht="12.75" customHeight="1">
      <c r="A138" s="41" t="s">
        <v>405</v>
      </c>
      <c r="F138" s="312">
        <f t="shared" si="61"/>
        <v>0</v>
      </c>
      <c r="G138" s="312">
        <f t="shared" si="62"/>
        <v>8.1549439347604492E-3</v>
      </c>
      <c r="H138" s="312">
        <f t="shared" si="63"/>
        <v>9.5346197502837685E-3</v>
      </c>
      <c r="I138" s="312">
        <f t="shared" si="64"/>
        <v>1.0373451326045412E-2</v>
      </c>
      <c r="J138" s="312">
        <f t="shared" si="65"/>
        <v>1.0307740748719818E-2</v>
      </c>
      <c r="K138" s="312">
        <f t="shared" si="66"/>
        <v>7.3265832337588831E-3</v>
      </c>
    </row>
    <row r="139" spans="1:11" ht="12.75" customHeight="1">
      <c r="A139" s="41" t="s">
        <v>1066</v>
      </c>
      <c r="F139" s="312">
        <f t="shared" si="61"/>
        <v>0</v>
      </c>
      <c r="G139" s="312">
        <f t="shared" si="62"/>
        <v>0</v>
      </c>
      <c r="H139" s="312">
        <f t="shared" si="63"/>
        <v>0</v>
      </c>
      <c r="I139" s="312">
        <f t="shared" si="64"/>
        <v>0</v>
      </c>
      <c r="J139" s="312">
        <f t="shared" si="65"/>
        <v>7.2419336128465607E-3</v>
      </c>
      <c r="K139" s="312">
        <f t="shared" si="66"/>
        <v>6.13168983082825E-3</v>
      </c>
    </row>
    <row r="140" spans="1:11">
      <c r="A140" s="41" t="s">
        <v>384</v>
      </c>
      <c r="F140" s="312">
        <f t="shared" si="61"/>
        <v>1.2705329383828245E-2</v>
      </c>
      <c r="G140" s="312">
        <f t="shared" si="62"/>
        <v>1.2232415902140673E-2</v>
      </c>
      <c r="H140" s="312">
        <f t="shared" si="63"/>
        <v>8.0464119056627564E-3</v>
      </c>
      <c r="I140" s="312">
        <f t="shared" si="64"/>
        <v>5.8621714562739104E-3</v>
      </c>
      <c r="J140" s="312">
        <f t="shared" si="65"/>
        <v>0</v>
      </c>
      <c r="K140" s="312">
        <f t="shared" si="66"/>
        <v>0</v>
      </c>
    </row>
    <row r="141" spans="1:11">
      <c r="A141" s="41" t="s">
        <v>380</v>
      </c>
      <c r="F141" s="312">
        <f t="shared" si="61"/>
        <v>7.2413033366789878E-2</v>
      </c>
      <c r="G141" s="312">
        <f t="shared" si="62"/>
        <v>6.8646386608723645E-2</v>
      </c>
      <c r="H141" s="312">
        <f t="shared" si="63"/>
        <v>6.1066969353007948E-2</v>
      </c>
      <c r="I141" s="312">
        <f t="shared" si="64"/>
        <v>2.5134469475548753E-2</v>
      </c>
      <c r="J141" s="312">
        <f t="shared" si="65"/>
        <v>0</v>
      </c>
      <c r="K141" s="312">
        <f t="shared" si="66"/>
        <v>0</v>
      </c>
    </row>
    <row r="142" spans="1:11">
      <c r="A142" s="41" t="s">
        <v>274</v>
      </c>
      <c r="F142" s="312">
        <f t="shared" si="61"/>
        <v>8.7933609145878722E-2</v>
      </c>
      <c r="G142" s="312">
        <f t="shared" si="62"/>
        <v>9.5310907237512746E-2</v>
      </c>
      <c r="H142" s="312">
        <f t="shared" si="63"/>
        <v>6.2580401059402199E-2</v>
      </c>
      <c r="I142" s="312">
        <f t="shared" si="64"/>
        <v>5.2231646341653469E-2</v>
      </c>
      <c r="J142" s="312">
        <f t="shared" si="65"/>
        <v>5.321246872048125E-2</v>
      </c>
      <c r="K142" s="312">
        <f t="shared" si="66"/>
        <v>5.2512420602477829E-2</v>
      </c>
    </row>
    <row r="143" spans="1:11">
      <c r="B143" s="41" t="s">
        <v>257</v>
      </c>
      <c r="F143" s="312"/>
      <c r="G143" s="312"/>
      <c r="H143" s="312"/>
      <c r="I143" s="312"/>
      <c r="J143" s="312"/>
      <c r="K143" s="312"/>
    </row>
    <row r="144" spans="1:11" ht="10.5">
      <c r="A144" s="128" t="s">
        <v>385</v>
      </c>
      <c r="B144" s="128"/>
      <c r="C144" s="128"/>
      <c r="D144" s="128"/>
      <c r="E144" s="128"/>
      <c r="F144" s="418">
        <f t="shared" si="61"/>
        <v>0.13297755147004822</v>
      </c>
      <c r="G144" s="418">
        <f t="shared" si="62"/>
        <v>0.13466387681742584</v>
      </c>
      <c r="H144" s="418">
        <f t="shared" si="63"/>
        <v>0.13845377727330055</v>
      </c>
      <c r="I144" s="418">
        <f t="shared" si="64"/>
        <v>0.15609646830431106</v>
      </c>
      <c r="J144" s="418">
        <f t="shared" si="65"/>
        <v>0.16406211159537976</v>
      </c>
      <c r="K144" s="418">
        <f t="shared" si="66"/>
        <v>0.17030375448085025</v>
      </c>
    </row>
    <row r="145" spans="1:11">
      <c r="A145" s="41" t="s">
        <v>386</v>
      </c>
      <c r="F145" s="312">
        <f t="shared" si="61"/>
        <v>6.0760361330754728E-2</v>
      </c>
      <c r="G145" s="312">
        <f t="shared" si="62"/>
        <v>5.7004131122914317E-2</v>
      </c>
      <c r="H145" s="312">
        <f t="shared" si="63"/>
        <v>6.205069996216421E-2</v>
      </c>
      <c r="I145" s="312">
        <f t="shared" si="64"/>
        <v>7.0645514637436568E-2</v>
      </c>
      <c r="J145" s="312">
        <f t="shared" si="65"/>
        <v>6.6983742936214646E-2</v>
      </c>
      <c r="K145" s="312">
        <f t="shared" si="66"/>
        <v>6.7747311489843406E-2</v>
      </c>
    </row>
    <row r="146" spans="1:11">
      <c r="A146" s="41" t="s">
        <v>1074</v>
      </c>
      <c r="F146" s="312">
        <f t="shared" si="61"/>
        <v>1.2754290190702343E-2</v>
      </c>
      <c r="G146" s="312">
        <f t="shared" si="62"/>
        <v>1.4485755673587638E-2</v>
      </c>
      <c r="H146" s="312">
        <f t="shared" si="63"/>
        <v>1.2435363854206079E-2</v>
      </c>
      <c r="I146" s="312">
        <f t="shared" si="64"/>
        <v>2.0907263362499609E-2</v>
      </c>
      <c r="J146" s="312">
        <f t="shared" si="65"/>
        <v>2.8918018659993702E-2</v>
      </c>
      <c r="K146" s="312">
        <f t="shared" si="66"/>
        <v>3.8865480158480598E-2</v>
      </c>
    </row>
    <row r="147" spans="1:11">
      <c r="A147" s="41" t="s">
        <v>407</v>
      </c>
      <c r="F147" s="312">
        <f t="shared" si="61"/>
        <v>0</v>
      </c>
      <c r="G147" s="312">
        <f t="shared" si="62"/>
        <v>1.2903052738880842E-2</v>
      </c>
      <c r="H147" s="312">
        <f t="shared" si="63"/>
        <v>1.5941480640686088E-2</v>
      </c>
      <c r="I147" s="312">
        <f t="shared" si="64"/>
        <v>1.5419847149385612E-2</v>
      </c>
      <c r="J147" s="312">
        <f t="shared" si="65"/>
        <v>1.3539267189234873E-2</v>
      </c>
      <c r="K147" s="312">
        <f t="shared" si="66"/>
        <v>1.6854285893968934E-2</v>
      </c>
    </row>
    <row r="148" spans="1:11">
      <c r="A148" s="41" t="s">
        <v>1067</v>
      </c>
      <c r="F148" s="312">
        <f t="shared" si="61"/>
        <v>0</v>
      </c>
      <c r="G148" s="312">
        <f t="shared" si="62"/>
        <v>0</v>
      </c>
      <c r="H148" s="312">
        <f t="shared" si="63"/>
        <v>0</v>
      </c>
      <c r="I148" s="312">
        <f t="shared" si="64"/>
        <v>0</v>
      </c>
      <c r="J148" s="312">
        <f t="shared" si="65"/>
        <v>7.3413651956316392E-3</v>
      </c>
      <c r="K148" s="312">
        <f t="shared" si="66"/>
        <v>6.7605810955285832E-3</v>
      </c>
    </row>
    <row r="149" spans="1:11">
      <c r="A149" s="41" t="s">
        <v>274</v>
      </c>
      <c r="F149" s="312">
        <f t="shared" si="61"/>
        <v>5.946289994859115E-2</v>
      </c>
      <c r="G149" s="312">
        <f t="shared" si="62"/>
        <v>6.3173990020923859E-2</v>
      </c>
      <c r="H149" s="312">
        <f t="shared" si="63"/>
        <v>4.8026232816244165E-2</v>
      </c>
      <c r="I149" s="312">
        <f t="shared" si="64"/>
        <v>4.9123843154989265E-2</v>
      </c>
      <c r="J149" s="312">
        <f t="shared" si="65"/>
        <v>4.7279717614304891E-2</v>
      </c>
      <c r="K149" s="312">
        <f t="shared" si="66"/>
        <v>4.0076095843028743E-2</v>
      </c>
    </row>
    <row r="150" spans="1:11">
      <c r="F150" s="312"/>
      <c r="G150" s="312"/>
      <c r="H150" s="312"/>
      <c r="I150" s="312"/>
      <c r="J150" s="312"/>
      <c r="K150" s="312"/>
    </row>
    <row r="151" spans="1:11" ht="10.5">
      <c r="A151" s="128" t="s">
        <v>388</v>
      </c>
      <c r="B151" s="128"/>
      <c r="C151" s="128"/>
      <c r="D151" s="128"/>
      <c r="E151" s="128"/>
      <c r="F151" s="418">
        <f t="shared" si="61"/>
        <v>0.26108350265612379</v>
      </c>
      <c r="G151" s="418">
        <f t="shared" si="62"/>
        <v>0.2697837866838349</v>
      </c>
      <c r="H151" s="418">
        <f t="shared" si="63"/>
        <v>0.28215411779543448</v>
      </c>
      <c r="I151" s="418">
        <f t="shared" si="64"/>
        <v>0.2807367689346838</v>
      </c>
      <c r="J151" s="418">
        <f t="shared" si="65"/>
        <v>0.29693585005717316</v>
      </c>
      <c r="K151" s="418">
        <f t="shared" si="66"/>
        <v>0.29083076536066915</v>
      </c>
    </row>
    <row r="152" spans="1:11">
      <c r="A152" s="41" t="s">
        <v>389</v>
      </c>
      <c r="F152" s="312">
        <f t="shared" si="61"/>
        <v>0.1093050013464222</v>
      </c>
      <c r="G152" s="312">
        <f t="shared" si="62"/>
        <v>0.12253876280916358</v>
      </c>
      <c r="H152" s="312">
        <f t="shared" si="63"/>
        <v>0.12109976037331316</v>
      </c>
      <c r="I152" s="312">
        <f t="shared" si="64"/>
        <v>0.12186515546031942</v>
      </c>
      <c r="J152" s="312">
        <f t="shared" si="65"/>
        <v>0.17069088378105166</v>
      </c>
      <c r="K152" s="312">
        <f t="shared" si="66"/>
        <v>0.16420350921325702</v>
      </c>
    </row>
    <row r="153" spans="1:11">
      <c r="A153" s="41" t="s">
        <v>390</v>
      </c>
      <c r="F153" s="312">
        <f t="shared" si="61"/>
        <v>4.3844402555754121E-2</v>
      </c>
      <c r="G153" s="312">
        <f t="shared" si="62"/>
        <v>5.0458715596330278E-2</v>
      </c>
      <c r="H153" s="312">
        <f t="shared" si="63"/>
        <v>5.5896077689494263E-2</v>
      </c>
      <c r="I153" s="312">
        <f t="shared" si="64"/>
        <v>4.9376868202499459E-2</v>
      </c>
      <c r="J153" s="312">
        <f t="shared" si="65"/>
        <v>3.9308619061034417E-2</v>
      </c>
      <c r="K153" s="312">
        <f t="shared" si="66"/>
        <v>4.4211055908433432E-2</v>
      </c>
    </row>
    <row r="154" spans="1:11">
      <c r="A154" s="41" t="s">
        <v>391</v>
      </c>
      <c r="F154" s="312">
        <f t="shared" si="61"/>
        <v>3.3978799970623516E-2</v>
      </c>
      <c r="G154" s="312">
        <f t="shared" si="62"/>
        <v>3.1493105853318312E-2</v>
      </c>
      <c r="H154" s="312">
        <f t="shared" si="63"/>
        <v>3.9197881195611045E-2</v>
      </c>
      <c r="I154" s="312">
        <f t="shared" si="64"/>
        <v>3.2955022254482921E-2</v>
      </c>
      <c r="J154" s="312">
        <f t="shared" si="65"/>
        <v>2.6316225577117477E-2</v>
      </c>
      <c r="K154" s="312">
        <f t="shared" si="66"/>
        <v>2.7938494434312306E-2</v>
      </c>
    </row>
    <row r="155" spans="1:11">
      <c r="A155" s="41" t="s">
        <v>392</v>
      </c>
      <c r="F155" s="312">
        <f t="shared" si="61"/>
        <v>1.8849910646527454E-2</v>
      </c>
      <c r="G155" s="312">
        <f t="shared" si="62"/>
        <v>1.7007350179730672E-2</v>
      </c>
      <c r="H155" s="312">
        <f t="shared" si="63"/>
        <v>2.0204313280363224E-2</v>
      </c>
      <c r="I155" s="312">
        <f t="shared" si="64"/>
        <v>1.8779225695197656E-2</v>
      </c>
      <c r="J155" s="312">
        <f t="shared" si="65"/>
        <v>1.6522214672787233E-2</v>
      </c>
      <c r="K155" s="312">
        <f t="shared" si="66"/>
        <v>1.5565058801333249E-2</v>
      </c>
    </row>
    <row r="156" spans="1:11">
      <c r="A156" s="41" t="s">
        <v>1069</v>
      </c>
      <c r="F156" s="312">
        <f t="shared" si="61"/>
        <v>0</v>
      </c>
      <c r="G156" s="312">
        <f t="shared" si="62"/>
        <v>0</v>
      </c>
      <c r="H156" s="312">
        <f t="shared" si="63"/>
        <v>0</v>
      </c>
      <c r="I156" s="312">
        <f t="shared" si="64"/>
        <v>0</v>
      </c>
      <c r="J156" s="312">
        <f t="shared" si="65"/>
        <v>1.453358301708566E-2</v>
      </c>
      <c r="K156" s="312">
        <f t="shared" si="66"/>
        <v>1.1634488396956166E-2</v>
      </c>
    </row>
    <row r="157" spans="1:11">
      <c r="A157" s="41" t="s">
        <v>1070</v>
      </c>
      <c r="F157" s="312">
        <f t="shared" si="61"/>
        <v>0</v>
      </c>
      <c r="G157" s="312">
        <f t="shared" si="62"/>
        <v>0</v>
      </c>
      <c r="H157" s="312">
        <f t="shared" si="63"/>
        <v>0</v>
      </c>
      <c r="I157" s="312">
        <f t="shared" si="64"/>
        <v>0</v>
      </c>
      <c r="J157" s="312">
        <f t="shared" si="65"/>
        <v>1.0672323218931773E-2</v>
      </c>
      <c r="K157" s="312">
        <f t="shared" si="66"/>
        <v>1.0989874850638324E-2</v>
      </c>
    </row>
    <row r="158" spans="1:11">
      <c r="A158" s="41" t="s">
        <v>1071</v>
      </c>
      <c r="F158" s="312">
        <f t="shared" si="61"/>
        <v>0</v>
      </c>
      <c r="G158" s="312">
        <f t="shared" si="62"/>
        <v>0</v>
      </c>
      <c r="H158" s="312">
        <f t="shared" si="63"/>
        <v>0</v>
      </c>
      <c r="I158" s="312">
        <f t="shared" si="64"/>
        <v>0</v>
      </c>
      <c r="J158" s="312">
        <f t="shared" si="65"/>
        <v>4.2092703379016626E-3</v>
      </c>
      <c r="K158" s="312">
        <f t="shared" si="66"/>
        <v>5.2355197786302749E-3</v>
      </c>
    </row>
    <row r="159" spans="1:11">
      <c r="A159" s="41" t="s">
        <v>1072</v>
      </c>
      <c r="F159" s="312">
        <f t="shared" si="61"/>
        <v>0</v>
      </c>
      <c r="G159" s="312">
        <f t="shared" si="62"/>
        <v>0</v>
      </c>
      <c r="H159" s="312">
        <f t="shared" si="63"/>
        <v>0</v>
      </c>
      <c r="I159" s="312">
        <f t="shared" si="64"/>
        <v>0</v>
      </c>
      <c r="J159" s="312">
        <f t="shared" si="65"/>
        <v>2.6846527351971233E-3</v>
      </c>
      <c r="K159" s="312">
        <f t="shared" si="66"/>
        <v>2.1696748632161499E-3</v>
      </c>
    </row>
    <row r="160" spans="1:11">
      <c r="A160" s="41" t="s">
        <v>274</v>
      </c>
      <c r="F160" s="312">
        <f t="shared" si="61"/>
        <v>5.5105388136796496E-2</v>
      </c>
      <c r="G160" s="312">
        <f t="shared" si="62"/>
        <v>4.8285852245292131E-2</v>
      </c>
      <c r="H160" s="312">
        <f t="shared" si="63"/>
        <v>4.5756085256652791E-2</v>
      </c>
      <c r="I160" s="312">
        <f t="shared" si="64"/>
        <v>5.7760497322184308E-2</v>
      </c>
      <c r="J160" s="312">
        <f t="shared" si="65"/>
        <v>1.1998077656066156E-2</v>
      </c>
      <c r="K160" s="312">
        <f t="shared" si="66"/>
        <v>8.8830891138922084E-3</v>
      </c>
    </row>
    <row r="161" spans="1:36">
      <c r="B161" s="41" t="s">
        <v>257</v>
      </c>
      <c r="F161" s="312"/>
      <c r="G161" s="312"/>
      <c r="H161" s="312"/>
      <c r="I161" s="312"/>
      <c r="J161" s="312"/>
      <c r="K161" s="312"/>
    </row>
    <row r="162" spans="1:36" ht="10.5">
      <c r="A162" s="128" t="s">
        <v>275</v>
      </c>
      <c r="B162" s="128"/>
      <c r="C162" s="128"/>
      <c r="D162" s="128"/>
      <c r="E162" s="128"/>
      <c r="F162" s="450">
        <f>F119+F124+F132+F144+F151</f>
        <v>1</v>
      </c>
      <c r="G162" s="450">
        <f>G119+G124+G132+G144+G151</f>
        <v>1</v>
      </c>
      <c r="H162" s="450">
        <f>H119+H124+H132+H144+H151</f>
        <v>1</v>
      </c>
      <c r="I162" s="450">
        <f>I119+I124+I132+I144+I151</f>
        <v>1</v>
      </c>
      <c r="J162" s="450">
        <f>SUM(J119,J124,J132,J144,J151)</f>
        <v>1</v>
      </c>
      <c r="K162" s="450">
        <f>SUM(K119,K124,K132,K144,K151)</f>
        <v>1</v>
      </c>
    </row>
    <row r="165" spans="1:36" ht="10.5">
      <c r="A165" s="417" t="s">
        <v>380</v>
      </c>
      <c r="B165" s="63">
        <f>B3</f>
        <v>2015</v>
      </c>
      <c r="C165" s="63">
        <f t="shared" ref="C165:I165" si="67">C3</f>
        <v>2016</v>
      </c>
      <c r="D165" s="63">
        <f t="shared" si="67"/>
        <v>2017</v>
      </c>
      <c r="E165" s="63">
        <f t="shared" si="67"/>
        <v>2018</v>
      </c>
      <c r="F165" s="63">
        <f t="shared" si="67"/>
        <v>2019</v>
      </c>
      <c r="G165" s="63">
        <f t="shared" si="67"/>
        <v>2020</v>
      </c>
      <c r="H165" s="63">
        <f t="shared" si="67"/>
        <v>2021</v>
      </c>
      <c r="I165" s="63">
        <f t="shared" si="67"/>
        <v>2022</v>
      </c>
      <c r="J165" s="63">
        <v>2023</v>
      </c>
      <c r="K165" s="63">
        <v>2024</v>
      </c>
      <c r="L165" s="301"/>
      <c r="M165" s="248" t="s">
        <v>769</v>
      </c>
      <c r="N165" s="248"/>
      <c r="O165" s="248" t="s">
        <v>771</v>
      </c>
      <c r="P165" s="249" t="s">
        <v>772</v>
      </c>
      <c r="Q165" s="248" t="s">
        <v>764</v>
      </c>
      <c r="R165" s="248" t="s">
        <v>765</v>
      </c>
      <c r="S165" s="248" t="s">
        <v>766</v>
      </c>
      <c r="T165" s="249" t="s">
        <v>767</v>
      </c>
      <c r="U165" s="248" t="s">
        <v>768</v>
      </c>
      <c r="V165" s="248" t="s">
        <v>730</v>
      </c>
      <c r="W165" s="248" t="s">
        <v>731</v>
      </c>
      <c r="X165" s="249" t="s">
        <v>732</v>
      </c>
      <c r="Y165" s="248" t="s">
        <v>733</v>
      </c>
      <c r="Z165" s="248" t="s">
        <v>626</v>
      </c>
      <c r="AA165" s="248" t="s">
        <v>620</v>
      </c>
      <c r="AB165" s="249" t="s">
        <v>619</v>
      </c>
      <c r="AC165" s="248" t="s">
        <v>614</v>
      </c>
      <c r="AD165" s="248" t="s">
        <v>604</v>
      </c>
      <c r="AE165" s="248" t="s">
        <v>589</v>
      </c>
      <c r="AF165" s="249" t="s">
        <v>587</v>
      </c>
      <c r="AG165" s="248" t="s">
        <v>504</v>
      </c>
      <c r="AH165" s="248" t="s">
        <v>504</v>
      </c>
      <c r="AI165" s="248" t="s">
        <v>532</v>
      </c>
      <c r="AJ165" s="249" t="s">
        <v>530</v>
      </c>
    </row>
    <row r="166" spans="1:36">
      <c r="A166" s="41" t="s">
        <v>729</v>
      </c>
      <c r="H166" s="592">
        <f>SUM(AC166:AF166)</f>
        <v>3311</v>
      </c>
      <c r="I166" s="41">
        <f>SUM(AG166:AJ166)</f>
        <v>-610</v>
      </c>
      <c r="J166" s="592"/>
      <c r="K166" s="592"/>
      <c r="AB166" s="614"/>
      <c r="AC166" s="41">
        <f>10690-9828</f>
        <v>862</v>
      </c>
      <c r="AD166" s="41">
        <f>12245-11493</f>
        <v>752</v>
      </c>
      <c r="AE166" s="41">
        <f>12245-11493</f>
        <v>752</v>
      </c>
      <c r="AF166" s="614">
        <f>11643-10698</f>
        <v>945</v>
      </c>
      <c r="AG166" s="41">
        <f>13818-12961</f>
        <v>857</v>
      </c>
      <c r="AH166" s="41">
        <f>-13842+13377</f>
        <v>-465</v>
      </c>
      <c r="AI166" s="41">
        <f>12322-13324</f>
        <v>-1002</v>
      </c>
      <c r="AJ166" s="614"/>
    </row>
    <row r="167" spans="1:36">
      <c r="A167" s="41" t="s">
        <v>778</v>
      </c>
      <c r="H167" s="592"/>
      <c r="I167" s="41">
        <f>SUM(AG167:AJ167)</f>
        <v>-550</v>
      </c>
      <c r="J167" s="592"/>
      <c r="K167" s="592"/>
      <c r="AG167" s="41">
        <v>0</v>
      </c>
      <c r="AH167" s="41">
        <v>-400</v>
      </c>
      <c r="AI167" s="41">
        <v>-150</v>
      </c>
      <c r="AJ167" s="133"/>
    </row>
    <row r="168" spans="1:36">
      <c r="A168" s="41" t="s">
        <v>735</v>
      </c>
      <c r="F168" s="875">
        <f>F95</f>
        <v>2957.9999999999995</v>
      </c>
      <c r="G168" s="875">
        <f>G95</f>
        <v>2559</v>
      </c>
      <c r="H168" s="41">
        <v>2421</v>
      </c>
      <c r="I168" s="41">
        <v>1249</v>
      </c>
    </row>
    <row r="169" spans="1:36">
      <c r="A169" s="41" t="s">
        <v>1075</v>
      </c>
      <c r="F169" s="876">
        <f>F168/F116</f>
        <v>7.2413033366789878E-2</v>
      </c>
      <c r="G169" s="876">
        <f t="shared" ref="G169:I169" si="68">G168/G116</f>
        <v>6.8646386608723645E-2</v>
      </c>
      <c r="H169" s="876">
        <f t="shared" si="68"/>
        <v>6.1066969353007948E-2</v>
      </c>
      <c r="I169" s="876">
        <f t="shared" si="68"/>
        <v>2.5133818972109308E-2</v>
      </c>
    </row>
  </sheetData>
  <sortState xmlns:xlrd2="http://schemas.microsoft.com/office/spreadsheetml/2017/richdata2" ref="A99:K102">
    <sortCondition descending="1" ref="K99:K102"/>
  </sortState>
  <phoneticPr fontId="82" type="noConversion"/>
  <hyperlinks>
    <hyperlink ref="A2" location="'START PAGE'!A1" display="Back to start page" xr:uid="{00000000-0004-0000-0500-000000000000}"/>
  </hyperlinks>
  <pageMargins left="0.7" right="0.7" top="0.75" bottom="0.75" header="0.3" footer="0.3"/>
  <pageSetup paperSize="9" scale="47"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D00"/>
    <pageSetUpPr fitToPage="1"/>
  </sheetPr>
  <dimension ref="A1:AT58"/>
  <sheetViews>
    <sheetView showGridLines="0" zoomScale="90" zoomScaleNormal="90" workbookViewId="0">
      <pane xSplit="1" topLeftCell="B1" activePane="topRight" state="frozen"/>
      <selection pane="topRight" activeCell="B1" sqref="B1"/>
    </sheetView>
  </sheetViews>
  <sheetFormatPr defaultColWidth="9" defaultRowHeight="10"/>
  <cols>
    <col min="1" max="1" width="34.08203125" style="57" bestFit="1" customWidth="1"/>
    <col min="2" max="3" width="7.58203125" style="42" bestFit="1" customWidth="1"/>
    <col min="4" max="11" width="7.58203125" style="217" bestFit="1" customWidth="1"/>
    <col min="12" max="12" width="7.58203125" style="217" customWidth="1"/>
    <col min="13" max="13" width="8.5" style="42" bestFit="1" customWidth="1"/>
    <col min="14" max="21" width="6.5" style="42" bestFit="1" customWidth="1"/>
    <col min="22" max="24" width="6.08203125" style="42" bestFit="1" customWidth="1"/>
    <col min="25" max="33" width="6.5" style="42" bestFit="1" customWidth="1"/>
    <col min="34" max="35" width="6.5" style="42" customWidth="1"/>
    <col min="36" max="37" width="6.5" style="42" bestFit="1" customWidth="1"/>
    <col min="38" max="39" width="6.5" style="42" customWidth="1"/>
    <col min="40" max="41" width="6.5" style="42" bestFit="1" customWidth="1"/>
    <col min="42" max="43" width="6.5" style="42" customWidth="1"/>
    <col min="44" max="45" width="6.5" style="42" bestFit="1" customWidth="1"/>
    <col min="46" max="46" width="6.5" style="42" customWidth="1"/>
    <col min="47" max="16384" width="9" style="42"/>
  </cols>
  <sheetData>
    <row r="1" spans="1:46" ht="16" thickBot="1">
      <c r="A1" s="59" t="s">
        <v>18</v>
      </c>
      <c r="B1" s="69" t="s">
        <v>222</v>
      </c>
      <c r="C1" s="50"/>
      <c r="D1" s="102"/>
      <c r="E1" s="218"/>
      <c r="F1" s="218"/>
      <c r="G1" s="218"/>
      <c r="H1" s="218"/>
      <c r="I1" s="218"/>
      <c r="J1" s="218"/>
      <c r="K1" s="218"/>
      <c r="L1" s="227"/>
      <c r="M1" s="69" t="s">
        <v>221</v>
      </c>
      <c r="N1" s="50"/>
      <c r="O1" s="50"/>
      <c r="P1" s="70"/>
      <c r="Q1" s="50"/>
      <c r="R1" s="50"/>
      <c r="S1" s="50"/>
      <c r="T1" s="70"/>
      <c r="U1" s="69"/>
      <c r="V1" s="50"/>
      <c r="W1" s="50"/>
      <c r="X1" s="70"/>
      <c r="Y1" s="50"/>
      <c r="Z1" s="50"/>
      <c r="AA1" s="50"/>
      <c r="AB1" s="70"/>
      <c r="AC1" s="69"/>
      <c r="AD1" s="50"/>
      <c r="AE1" s="50"/>
      <c r="AF1" s="70"/>
      <c r="AG1" s="69"/>
      <c r="AH1" s="69"/>
      <c r="AI1" s="69"/>
      <c r="AJ1" s="70"/>
      <c r="AK1" s="69"/>
      <c r="AL1" s="69"/>
      <c r="AM1" s="69"/>
      <c r="AN1" s="70"/>
      <c r="AO1" s="69"/>
      <c r="AP1" s="69"/>
      <c r="AQ1" s="69"/>
      <c r="AR1" s="70"/>
      <c r="AS1" s="69"/>
      <c r="AT1" s="69"/>
    </row>
    <row r="2" spans="1:46" ht="11.5" thickTop="1" thickBot="1">
      <c r="A2" s="823" t="s">
        <v>198</v>
      </c>
      <c r="B2" s="3"/>
      <c r="C2" s="3"/>
      <c r="D2" s="154"/>
      <c r="E2" s="154"/>
      <c r="F2" s="154"/>
      <c r="G2" s="154"/>
      <c r="H2" s="154"/>
      <c r="I2" s="154"/>
      <c r="J2" s="154"/>
      <c r="K2" s="154"/>
      <c r="L2" s="227"/>
      <c r="M2" s="3"/>
      <c r="N2" s="3"/>
      <c r="O2" s="3"/>
      <c r="P2" s="72"/>
      <c r="Q2" s="3"/>
      <c r="R2" s="3"/>
      <c r="S2" s="3"/>
      <c r="T2" s="72"/>
      <c r="U2" s="3"/>
      <c r="V2" s="3"/>
      <c r="W2" s="3"/>
      <c r="X2" s="72"/>
      <c r="Y2" s="3"/>
      <c r="Z2" s="3"/>
      <c r="AA2" s="3"/>
      <c r="AB2" s="72"/>
      <c r="AC2" s="3"/>
      <c r="AD2" s="3"/>
      <c r="AE2" s="3"/>
      <c r="AF2" s="72"/>
      <c r="AG2" s="3"/>
      <c r="AH2" s="3"/>
      <c r="AI2" s="3"/>
      <c r="AJ2" s="72"/>
      <c r="AK2" s="3"/>
      <c r="AL2" s="3"/>
      <c r="AM2" s="3"/>
      <c r="AN2" s="72"/>
      <c r="AO2" s="3"/>
      <c r="AP2" s="3"/>
      <c r="AQ2" s="3"/>
      <c r="AR2" s="72"/>
      <c r="AS2" s="3"/>
      <c r="AT2" s="3"/>
    </row>
    <row r="3" spans="1:46" ht="11" thickTop="1">
      <c r="A3" s="594" t="s">
        <v>209</v>
      </c>
      <c r="B3" s="595">
        <v>2015</v>
      </c>
      <c r="C3" s="595">
        <v>2016</v>
      </c>
      <c r="D3" s="596">
        <v>2017</v>
      </c>
      <c r="E3" s="596">
        <v>2018</v>
      </c>
      <c r="F3" s="596">
        <v>2019</v>
      </c>
      <c r="G3" s="596">
        <v>2020</v>
      </c>
      <c r="H3" s="596">
        <v>2021</v>
      </c>
      <c r="I3" s="596">
        <v>2022</v>
      </c>
      <c r="J3" s="596">
        <v>2023</v>
      </c>
      <c r="K3" s="596">
        <v>2024</v>
      </c>
      <c r="L3" s="459"/>
      <c r="M3" s="597" t="s">
        <v>769</v>
      </c>
      <c r="N3" s="597" t="s">
        <v>770</v>
      </c>
      <c r="O3" s="597" t="s">
        <v>771</v>
      </c>
      <c r="P3" s="598" t="s">
        <v>772</v>
      </c>
      <c r="Q3" s="597" t="s">
        <v>764</v>
      </c>
      <c r="R3" s="597" t="s">
        <v>765</v>
      </c>
      <c r="S3" s="597" t="s">
        <v>766</v>
      </c>
      <c r="T3" s="598" t="s">
        <v>767</v>
      </c>
      <c r="U3" s="597" t="s">
        <v>768</v>
      </c>
      <c r="V3" s="597" t="s">
        <v>730</v>
      </c>
      <c r="W3" s="597" t="s">
        <v>731</v>
      </c>
      <c r="X3" s="598" t="s">
        <v>732</v>
      </c>
      <c r="Y3" s="597" t="s">
        <v>733</v>
      </c>
      <c r="Z3" s="597" t="s">
        <v>626</v>
      </c>
      <c r="AA3" s="597" t="s">
        <v>620</v>
      </c>
      <c r="AB3" s="598" t="s">
        <v>619</v>
      </c>
      <c r="AC3" s="597" t="s">
        <v>614</v>
      </c>
      <c r="AD3" s="597" t="s">
        <v>604</v>
      </c>
      <c r="AE3" s="597" t="s">
        <v>589</v>
      </c>
      <c r="AF3" s="598" t="s">
        <v>587</v>
      </c>
      <c r="AG3" s="597" t="s">
        <v>504</v>
      </c>
      <c r="AH3" s="597" t="s">
        <v>551</v>
      </c>
      <c r="AI3" s="597" t="s">
        <v>532</v>
      </c>
      <c r="AJ3" s="598" t="s">
        <v>530</v>
      </c>
      <c r="AK3" s="597" t="s">
        <v>803</v>
      </c>
      <c r="AL3" s="597" t="s">
        <v>812</v>
      </c>
      <c r="AM3" s="597" t="s">
        <v>816</v>
      </c>
      <c r="AN3" s="598" t="s">
        <v>835</v>
      </c>
      <c r="AO3" s="597" t="s">
        <v>872</v>
      </c>
      <c r="AP3" s="597" t="s">
        <v>986</v>
      </c>
      <c r="AQ3" s="597" t="s">
        <v>1016</v>
      </c>
      <c r="AR3" s="598" t="s">
        <v>1039</v>
      </c>
      <c r="AS3" s="597" t="s">
        <v>1076</v>
      </c>
      <c r="AT3" s="597" t="s">
        <v>1285</v>
      </c>
    </row>
    <row r="4" spans="1:46" ht="10.5">
      <c r="A4" s="31" t="s">
        <v>19</v>
      </c>
      <c r="B4" s="25">
        <v>3062</v>
      </c>
      <c r="C4" s="35">
        <v>3185</v>
      </c>
      <c r="D4" s="223">
        <v>3121</v>
      </c>
      <c r="E4" s="223">
        <v>3620</v>
      </c>
      <c r="F4" s="223">
        <v>4226</v>
      </c>
      <c r="G4" s="223">
        <v>4111</v>
      </c>
      <c r="H4" s="223">
        <v>7233</v>
      </c>
      <c r="I4" s="223">
        <v>13073</v>
      </c>
      <c r="J4" s="223">
        <v>15843</v>
      </c>
      <c r="K4" s="223">
        <v>25075</v>
      </c>
      <c r="L4" s="227"/>
      <c r="M4" s="25">
        <v>3233</v>
      </c>
      <c r="N4" s="25">
        <v>3136</v>
      </c>
      <c r="O4" s="35">
        <v>3076</v>
      </c>
      <c r="P4" s="210">
        <v>3121</v>
      </c>
      <c r="Q4" s="27">
        <v>3539</v>
      </c>
      <c r="R4" s="27">
        <v>3637</v>
      </c>
      <c r="S4" s="27">
        <v>3532</v>
      </c>
      <c r="T4" s="210">
        <v>3620</v>
      </c>
      <c r="U4" s="27">
        <v>3865</v>
      </c>
      <c r="V4" s="27">
        <v>4224</v>
      </c>
      <c r="W4" s="27">
        <v>4242</v>
      </c>
      <c r="X4" s="210">
        <v>4226</v>
      </c>
      <c r="Y4" s="27">
        <v>4341</v>
      </c>
      <c r="Z4" s="27">
        <v>4206</v>
      </c>
      <c r="AA4" s="27">
        <v>4216</v>
      </c>
      <c r="AB4" s="210">
        <v>4111</v>
      </c>
      <c r="AC4" s="27">
        <v>4249</v>
      </c>
      <c r="AD4" s="27">
        <v>5963</v>
      </c>
      <c r="AE4" s="27">
        <v>6355</v>
      </c>
      <c r="AF4" s="210">
        <v>7233</v>
      </c>
      <c r="AG4" s="27">
        <v>7192</v>
      </c>
      <c r="AH4" s="27">
        <v>7653</v>
      </c>
      <c r="AI4" s="27">
        <v>8419</v>
      </c>
      <c r="AJ4" s="210">
        <v>13073</v>
      </c>
      <c r="AK4" s="27">
        <v>15966</v>
      </c>
      <c r="AL4" s="27">
        <v>16875</v>
      </c>
      <c r="AM4" s="27">
        <v>16472</v>
      </c>
      <c r="AN4" s="210">
        <v>15843</v>
      </c>
      <c r="AO4" s="27">
        <v>16184</v>
      </c>
      <c r="AP4" s="27">
        <v>22897</v>
      </c>
      <c r="AQ4" s="27">
        <v>24131</v>
      </c>
      <c r="AR4" s="210">
        <v>25075</v>
      </c>
      <c r="AS4" s="27">
        <v>22962</v>
      </c>
      <c r="AT4" s="27">
        <v>22349</v>
      </c>
    </row>
    <row r="5" spans="1:46">
      <c r="A5" s="33" t="s">
        <v>834</v>
      </c>
      <c r="B5" s="29"/>
      <c r="C5" s="619"/>
      <c r="D5" s="620">
        <v>1638</v>
      </c>
      <c r="E5" s="620">
        <v>1876</v>
      </c>
      <c r="F5" s="620">
        <v>2185</v>
      </c>
      <c r="G5" s="620">
        <v>2049</v>
      </c>
      <c r="H5" s="620">
        <v>4089</v>
      </c>
      <c r="I5" s="620">
        <v>8275</v>
      </c>
      <c r="J5" s="620">
        <v>10223</v>
      </c>
      <c r="K5" s="620">
        <v>16699</v>
      </c>
      <c r="L5" s="621"/>
      <c r="M5" s="29"/>
      <c r="N5" s="29"/>
      <c r="O5" s="619"/>
      <c r="P5" s="622">
        <v>1638</v>
      </c>
      <c r="Q5" s="623">
        <v>1840</v>
      </c>
      <c r="R5" s="623">
        <v>1881</v>
      </c>
      <c r="S5" s="623">
        <v>1816</v>
      </c>
      <c r="T5" s="622">
        <v>1876</v>
      </c>
      <c r="U5" s="623">
        <v>2005</v>
      </c>
      <c r="V5" s="623">
        <v>2174</v>
      </c>
      <c r="W5" s="623">
        <v>2244</v>
      </c>
      <c r="X5" s="622">
        <v>2185</v>
      </c>
      <c r="Y5" s="623">
        <v>2243</v>
      </c>
      <c r="Z5" s="623">
        <v>2129</v>
      </c>
      <c r="AA5" s="623">
        <v>2141</v>
      </c>
      <c r="AB5" s="622">
        <v>2049</v>
      </c>
      <c r="AC5" s="623">
        <v>2131</v>
      </c>
      <c r="AD5" s="623">
        <v>3204</v>
      </c>
      <c r="AE5" s="623">
        <v>3531</v>
      </c>
      <c r="AF5" s="622">
        <v>4089</v>
      </c>
      <c r="AG5" s="623">
        <v>4290</v>
      </c>
      <c r="AH5" s="623">
        <v>4642</v>
      </c>
      <c r="AI5" s="623">
        <v>5215</v>
      </c>
      <c r="AJ5" s="622">
        <v>8275</v>
      </c>
      <c r="AK5" s="623">
        <v>10079</v>
      </c>
      <c r="AL5" s="623">
        <v>10803</v>
      </c>
      <c r="AM5" s="623">
        <v>10649</v>
      </c>
      <c r="AN5" s="622">
        <v>10223</v>
      </c>
      <c r="AO5" s="623">
        <v>10497</v>
      </c>
      <c r="AP5" s="623">
        <v>14682</v>
      </c>
      <c r="AQ5" s="623">
        <v>15932</v>
      </c>
      <c r="AR5" s="622">
        <v>16700</v>
      </c>
      <c r="AS5" s="623">
        <v>15175</v>
      </c>
      <c r="AT5" s="623">
        <v>14767</v>
      </c>
    </row>
    <row r="6" spans="1:46" ht="10.5">
      <c r="A6" s="31" t="s">
        <v>20</v>
      </c>
      <c r="B6" s="25">
        <v>1404</v>
      </c>
      <c r="C6" s="35">
        <v>1370</v>
      </c>
      <c r="D6" s="223">
        <v>1215</v>
      </c>
      <c r="E6" s="223">
        <v>1233</v>
      </c>
      <c r="F6" s="223">
        <v>1213</v>
      </c>
      <c r="G6" s="223">
        <v>999</v>
      </c>
      <c r="H6" s="223">
        <v>1279</v>
      </c>
      <c r="I6" s="223">
        <v>1458</v>
      </c>
      <c r="J6" s="223">
        <v>1582</v>
      </c>
      <c r="K6" s="223">
        <v>1543</v>
      </c>
      <c r="L6" s="227"/>
      <c r="M6" s="25">
        <v>1279</v>
      </c>
      <c r="N6" s="25">
        <v>1271</v>
      </c>
      <c r="O6" s="35">
        <v>1220</v>
      </c>
      <c r="P6" s="211">
        <v>1215</v>
      </c>
      <c r="Q6" s="25">
        <v>1205</v>
      </c>
      <c r="R6" s="25">
        <v>1300</v>
      </c>
      <c r="S6" s="27">
        <v>1277</v>
      </c>
      <c r="T6" s="210">
        <v>1233</v>
      </c>
      <c r="U6" s="27">
        <v>1318</v>
      </c>
      <c r="V6" s="27">
        <v>1363</v>
      </c>
      <c r="W6" s="27">
        <v>1309</v>
      </c>
      <c r="X6" s="210">
        <v>1213</v>
      </c>
      <c r="Y6" s="27">
        <v>1187</v>
      </c>
      <c r="Z6" s="27">
        <v>1165</v>
      </c>
      <c r="AA6" s="27">
        <v>1108</v>
      </c>
      <c r="AB6" s="210">
        <v>999</v>
      </c>
      <c r="AC6" s="27">
        <v>1015</v>
      </c>
      <c r="AD6" s="27">
        <v>1103</v>
      </c>
      <c r="AE6" s="27">
        <v>1118</v>
      </c>
      <c r="AF6" s="210">
        <v>1279</v>
      </c>
      <c r="AG6" s="27">
        <v>1265</v>
      </c>
      <c r="AH6" s="27">
        <v>1430</v>
      </c>
      <c r="AI6" s="27">
        <v>1527</v>
      </c>
      <c r="AJ6" s="210">
        <v>1458</v>
      </c>
      <c r="AK6" s="27">
        <v>1420</v>
      </c>
      <c r="AL6" s="27">
        <v>1597</v>
      </c>
      <c r="AM6" s="27">
        <v>1597</v>
      </c>
      <c r="AN6" s="210">
        <v>1582</v>
      </c>
      <c r="AO6" s="27">
        <v>1580</v>
      </c>
      <c r="AP6" s="27">
        <v>1773</v>
      </c>
      <c r="AQ6" s="27">
        <v>1602</v>
      </c>
      <c r="AR6" s="210">
        <v>1543</v>
      </c>
      <c r="AS6" s="27">
        <v>1396</v>
      </c>
      <c r="AT6" s="27">
        <v>1449</v>
      </c>
    </row>
    <row r="7" spans="1:46" ht="10.5">
      <c r="A7" s="31" t="s">
        <v>21</v>
      </c>
      <c r="B7" s="25">
        <v>2398</v>
      </c>
      <c r="C7" s="35">
        <v>2285</v>
      </c>
      <c r="D7" s="223">
        <v>2271</v>
      </c>
      <c r="E7" s="223">
        <v>2473</v>
      </c>
      <c r="F7" s="223">
        <v>4613</v>
      </c>
      <c r="G7" s="223">
        <v>4150</v>
      </c>
      <c r="H7" s="223">
        <v>4587</v>
      </c>
      <c r="I7" s="223">
        <v>5429</v>
      </c>
      <c r="J7" s="223">
        <v>6032</v>
      </c>
      <c r="K7" s="223">
        <v>7932</v>
      </c>
      <c r="L7" s="227"/>
      <c r="M7" s="25">
        <v>2290</v>
      </c>
      <c r="N7" s="25">
        <v>2273</v>
      </c>
      <c r="O7" s="35">
        <v>2213</v>
      </c>
      <c r="P7" s="211">
        <v>2271</v>
      </c>
      <c r="Q7" s="25">
        <v>2345</v>
      </c>
      <c r="R7" s="25">
        <v>2455</v>
      </c>
      <c r="S7" s="27">
        <v>2421</v>
      </c>
      <c r="T7" s="210">
        <v>2473</v>
      </c>
      <c r="U7" s="27">
        <v>4657</v>
      </c>
      <c r="V7" s="27">
        <v>4746</v>
      </c>
      <c r="W7" s="27">
        <v>4775</v>
      </c>
      <c r="X7" s="210">
        <v>4613</v>
      </c>
      <c r="Y7" s="27">
        <v>4534</v>
      </c>
      <c r="Z7" s="27">
        <v>4364</v>
      </c>
      <c r="AA7" s="27">
        <v>4284</v>
      </c>
      <c r="AB7" s="210">
        <v>4150</v>
      </c>
      <c r="AC7" s="27">
        <v>4342</v>
      </c>
      <c r="AD7" s="27">
        <v>4452</v>
      </c>
      <c r="AE7" s="27">
        <v>4665</v>
      </c>
      <c r="AF7" s="210">
        <v>4587</v>
      </c>
      <c r="AG7" s="27">
        <v>4743</v>
      </c>
      <c r="AH7" s="27">
        <v>4909</v>
      </c>
      <c r="AI7" s="27">
        <v>5140</v>
      </c>
      <c r="AJ7" s="210">
        <v>5429</v>
      </c>
      <c r="AK7" s="27">
        <v>5754</v>
      </c>
      <c r="AL7" s="27">
        <v>5963</v>
      </c>
      <c r="AM7" s="27">
        <v>5924</v>
      </c>
      <c r="AN7" s="210">
        <v>6032</v>
      </c>
      <c r="AO7" s="27">
        <v>6334</v>
      </c>
      <c r="AP7" s="27">
        <v>7723</v>
      </c>
      <c r="AQ7" s="27">
        <v>7546</v>
      </c>
      <c r="AR7" s="210">
        <v>7932</v>
      </c>
      <c r="AS7" s="27">
        <v>7485</v>
      </c>
      <c r="AT7" s="27">
        <v>7456</v>
      </c>
    </row>
    <row r="8" spans="1:46" ht="10.5">
      <c r="A8" s="31" t="s">
        <v>176</v>
      </c>
      <c r="B8" s="25">
        <v>16</v>
      </c>
      <c r="C8" s="35">
        <v>15</v>
      </c>
      <c r="D8" s="223">
        <v>94</v>
      </c>
      <c r="E8" s="223">
        <v>208</v>
      </c>
      <c r="F8" s="223">
        <v>201</v>
      </c>
      <c r="G8" s="223">
        <v>188</v>
      </c>
      <c r="H8" s="223">
        <v>106</v>
      </c>
      <c r="I8" s="223">
        <v>67</v>
      </c>
      <c r="J8" s="223">
        <v>49</v>
      </c>
      <c r="K8" s="223">
        <v>34</v>
      </c>
      <c r="L8" s="227"/>
      <c r="M8" s="25">
        <v>32</v>
      </c>
      <c r="N8" s="25">
        <v>31</v>
      </c>
      <c r="O8" s="35">
        <v>95</v>
      </c>
      <c r="P8" s="211">
        <v>94</v>
      </c>
      <c r="Q8" s="25">
        <v>94</v>
      </c>
      <c r="R8" s="25">
        <v>93</v>
      </c>
      <c r="S8" s="27">
        <v>91</v>
      </c>
      <c r="T8" s="210">
        <v>208</v>
      </c>
      <c r="U8" s="27">
        <v>211</v>
      </c>
      <c r="V8" s="27">
        <v>204</v>
      </c>
      <c r="W8" s="27">
        <v>209</v>
      </c>
      <c r="X8" s="210">
        <v>201</v>
      </c>
      <c r="Y8" s="27">
        <v>208</v>
      </c>
      <c r="Z8" s="27">
        <v>202</v>
      </c>
      <c r="AA8" s="27">
        <v>195</v>
      </c>
      <c r="AB8" s="210">
        <v>188</v>
      </c>
      <c r="AC8" s="27">
        <v>191</v>
      </c>
      <c r="AD8" s="27">
        <v>181</v>
      </c>
      <c r="AE8" s="27">
        <v>181</v>
      </c>
      <c r="AF8" s="210">
        <v>106</v>
      </c>
      <c r="AG8" s="27">
        <v>101</v>
      </c>
      <c r="AH8" s="27">
        <v>81</v>
      </c>
      <c r="AI8" s="27">
        <v>74</v>
      </c>
      <c r="AJ8" s="210">
        <v>67</v>
      </c>
      <c r="AK8" s="27">
        <v>64</v>
      </c>
      <c r="AL8" s="27">
        <v>65</v>
      </c>
      <c r="AM8" s="27">
        <v>59</v>
      </c>
      <c r="AN8" s="210">
        <v>49</v>
      </c>
      <c r="AO8" s="27">
        <v>38</v>
      </c>
      <c r="AP8" s="27">
        <v>28</v>
      </c>
      <c r="AQ8" s="27">
        <v>27</v>
      </c>
      <c r="AR8" s="210">
        <v>34</v>
      </c>
      <c r="AS8" s="27">
        <v>31</v>
      </c>
      <c r="AT8" s="27">
        <v>29</v>
      </c>
    </row>
    <row r="9" spans="1:46" ht="10.5">
      <c r="A9" s="31" t="s">
        <v>213</v>
      </c>
      <c r="B9" s="25">
        <v>1297</v>
      </c>
      <c r="C9" s="35">
        <v>1499</v>
      </c>
      <c r="D9" s="223">
        <v>1101</v>
      </c>
      <c r="E9" s="223">
        <v>1119</v>
      </c>
      <c r="F9" s="223">
        <v>1007</v>
      </c>
      <c r="G9" s="223">
        <v>751</v>
      </c>
      <c r="H9" s="223">
        <v>1007</v>
      </c>
      <c r="I9" s="223">
        <v>1752</v>
      </c>
      <c r="J9" s="223">
        <v>1649</v>
      </c>
      <c r="K9" s="223">
        <v>2225</v>
      </c>
      <c r="L9" s="227"/>
      <c r="M9" s="25">
        <v>1515</v>
      </c>
      <c r="N9" s="25">
        <v>1455</v>
      </c>
      <c r="O9" s="35">
        <v>1426</v>
      </c>
      <c r="P9" s="211">
        <v>1101</v>
      </c>
      <c r="Q9" s="25">
        <v>1313</v>
      </c>
      <c r="R9" s="25">
        <v>1399</v>
      </c>
      <c r="S9" s="27">
        <v>1199</v>
      </c>
      <c r="T9" s="210">
        <v>1119</v>
      </c>
      <c r="U9" s="27">
        <v>1183</v>
      </c>
      <c r="V9" s="27">
        <v>1124</v>
      </c>
      <c r="W9" s="27">
        <v>1135</v>
      </c>
      <c r="X9" s="210">
        <v>1007</v>
      </c>
      <c r="Y9" s="27">
        <v>949</v>
      </c>
      <c r="Z9" s="27">
        <v>865</v>
      </c>
      <c r="AA9" s="27">
        <v>817</v>
      </c>
      <c r="AB9" s="210">
        <v>751</v>
      </c>
      <c r="AC9" s="27">
        <v>802</v>
      </c>
      <c r="AD9" s="27">
        <v>809</v>
      </c>
      <c r="AE9" s="27">
        <v>854</v>
      </c>
      <c r="AF9" s="210">
        <v>1007</v>
      </c>
      <c r="AG9" s="27">
        <v>1261</v>
      </c>
      <c r="AH9" s="27">
        <v>1722</v>
      </c>
      <c r="AI9" s="27">
        <v>1898</v>
      </c>
      <c r="AJ9" s="210">
        <v>1752</v>
      </c>
      <c r="AK9" s="27">
        <v>1634</v>
      </c>
      <c r="AL9" s="27">
        <v>1971</v>
      </c>
      <c r="AM9" s="27">
        <v>2118</v>
      </c>
      <c r="AN9" s="210">
        <v>1649</v>
      </c>
      <c r="AO9" s="27">
        <v>1804</v>
      </c>
      <c r="AP9" s="27">
        <v>1764</v>
      </c>
      <c r="AQ9" s="27">
        <v>2226</v>
      </c>
      <c r="AR9" s="210">
        <v>2225</v>
      </c>
      <c r="AS9" s="27">
        <v>1918</v>
      </c>
      <c r="AT9" s="27">
        <v>2286</v>
      </c>
    </row>
    <row r="10" spans="1:46" ht="10.5">
      <c r="A10" s="31" t="s">
        <v>22</v>
      </c>
      <c r="B10" s="25">
        <v>435</v>
      </c>
      <c r="C10" s="35">
        <v>347</v>
      </c>
      <c r="D10" s="223">
        <v>425</v>
      </c>
      <c r="E10" s="223">
        <v>543</v>
      </c>
      <c r="F10" s="223">
        <v>630</v>
      </c>
      <c r="G10" s="223">
        <v>1374</v>
      </c>
      <c r="H10" s="223">
        <v>1469</v>
      </c>
      <c r="I10" s="223">
        <v>1526</v>
      </c>
      <c r="J10" s="223">
        <v>1509</v>
      </c>
      <c r="K10" s="223">
        <v>1576</v>
      </c>
      <c r="L10" s="227"/>
      <c r="M10" s="25">
        <v>349</v>
      </c>
      <c r="N10" s="25">
        <v>377</v>
      </c>
      <c r="O10" s="35">
        <v>359</v>
      </c>
      <c r="P10" s="211">
        <v>425</v>
      </c>
      <c r="Q10" s="25">
        <v>407</v>
      </c>
      <c r="R10" s="25">
        <v>501</v>
      </c>
      <c r="S10" s="27">
        <v>526</v>
      </c>
      <c r="T10" s="210">
        <v>543</v>
      </c>
      <c r="U10" s="27">
        <v>619</v>
      </c>
      <c r="V10" s="27">
        <v>668</v>
      </c>
      <c r="W10" s="27">
        <v>717</v>
      </c>
      <c r="X10" s="210">
        <v>630</v>
      </c>
      <c r="Y10" s="27">
        <v>1383</v>
      </c>
      <c r="Z10" s="27">
        <v>1367</v>
      </c>
      <c r="AA10" s="27">
        <v>1400</v>
      </c>
      <c r="AB10" s="210">
        <v>1374</v>
      </c>
      <c r="AC10" s="27">
        <v>1359</v>
      </c>
      <c r="AD10" s="27">
        <v>1443</v>
      </c>
      <c r="AE10" s="27">
        <v>1469</v>
      </c>
      <c r="AF10" s="210">
        <v>1469</v>
      </c>
      <c r="AG10" s="27">
        <v>1666</v>
      </c>
      <c r="AH10" s="27">
        <v>1641</v>
      </c>
      <c r="AI10" s="27">
        <v>1820</v>
      </c>
      <c r="AJ10" s="210">
        <v>1526</v>
      </c>
      <c r="AK10" s="27">
        <v>1729</v>
      </c>
      <c r="AL10" s="27">
        <v>1579</v>
      </c>
      <c r="AM10" s="27">
        <v>1535</v>
      </c>
      <c r="AN10" s="210">
        <v>1509</v>
      </c>
      <c r="AO10" s="27">
        <v>1597</v>
      </c>
      <c r="AP10" s="27">
        <v>1600</v>
      </c>
      <c r="AQ10" s="27">
        <v>1553</v>
      </c>
      <c r="AR10" s="210">
        <v>1576</v>
      </c>
      <c r="AS10" s="27">
        <v>1363</v>
      </c>
      <c r="AT10" s="27">
        <v>1437</v>
      </c>
    </row>
    <row r="11" spans="1:46" ht="10.5">
      <c r="A11" s="16" t="s">
        <v>23</v>
      </c>
      <c r="B11" s="17">
        <v>8612</v>
      </c>
      <c r="C11" s="36">
        <v>8701</v>
      </c>
      <c r="D11" s="224">
        <v>8227</v>
      </c>
      <c r="E11" s="224">
        <v>9196</v>
      </c>
      <c r="F11" s="224">
        <v>11890</v>
      </c>
      <c r="G11" s="224">
        <v>11573</v>
      </c>
      <c r="H11" s="224">
        <v>15681</v>
      </c>
      <c r="I11" s="224">
        <v>23305</v>
      </c>
      <c r="J11" s="224">
        <v>26664</v>
      </c>
      <c r="K11" s="224">
        <v>38385</v>
      </c>
      <c r="L11" s="227"/>
      <c r="M11" s="17">
        <v>8698</v>
      </c>
      <c r="N11" s="17">
        <v>8543</v>
      </c>
      <c r="O11" s="36">
        <v>8389</v>
      </c>
      <c r="P11" s="212">
        <v>8227</v>
      </c>
      <c r="Q11" s="17">
        <v>8903</v>
      </c>
      <c r="R11" s="17">
        <v>9385</v>
      </c>
      <c r="S11" s="17">
        <v>9046</v>
      </c>
      <c r="T11" s="212">
        <v>9196</v>
      </c>
      <c r="U11" s="17">
        <v>11853</v>
      </c>
      <c r="V11" s="17">
        <v>12329</v>
      </c>
      <c r="W11" s="17">
        <v>12387</v>
      </c>
      <c r="X11" s="212">
        <v>11890</v>
      </c>
      <c r="Y11" s="17">
        <v>12602</v>
      </c>
      <c r="Z11" s="17">
        <v>12169</v>
      </c>
      <c r="AA11" s="17">
        <v>12020</v>
      </c>
      <c r="AB11" s="212">
        <v>11573</v>
      </c>
      <c r="AC11" s="17">
        <v>11958</v>
      </c>
      <c r="AD11" s="17">
        <v>13951</v>
      </c>
      <c r="AE11" s="17">
        <v>14642</v>
      </c>
      <c r="AF11" s="212">
        <v>15681</v>
      </c>
      <c r="AG11" s="17">
        <v>16228</v>
      </c>
      <c r="AH11" s="17">
        <v>17436</v>
      </c>
      <c r="AI11" s="17">
        <v>18878</v>
      </c>
      <c r="AJ11" s="212">
        <v>23305</v>
      </c>
      <c r="AK11" s="17">
        <v>26567</v>
      </c>
      <c r="AL11" s="17">
        <v>28050</v>
      </c>
      <c r="AM11" s="17">
        <v>27705</v>
      </c>
      <c r="AN11" s="212">
        <v>26664</v>
      </c>
      <c r="AO11" s="17">
        <v>27537</v>
      </c>
      <c r="AP11" s="17">
        <v>35785</v>
      </c>
      <c r="AQ11" s="17">
        <v>37085</v>
      </c>
      <c r="AR11" s="212">
        <v>38385</v>
      </c>
      <c r="AS11" s="17">
        <v>35155</v>
      </c>
      <c r="AT11" s="17">
        <v>35006</v>
      </c>
    </row>
    <row r="12" spans="1:46" ht="10.5">
      <c r="A12" s="31" t="s">
        <v>24</v>
      </c>
      <c r="B12" s="25">
        <v>7153</v>
      </c>
      <c r="C12" s="35">
        <v>7061</v>
      </c>
      <c r="D12" s="223">
        <v>8440</v>
      </c>
      <c r="E12" s="223">
        <v>10516</v>
      </c>
      <c r="F12" s="223">
        <v>10508</v>
      </c>
      <c r="G12" s="223">
        <v>8930</v>
      </c>
      <c r="H12" s="223">
        <v>11861</v>
      </c>
      <c r="I12" s="223">
        <v>16945</v>
      </c>
      <c r="J12" s="223">
        <v>18747</v>
      </c>
      <c r="K12" s="223">
        <v>19191</v>
      </c>
      <c r="L12" s="227"/>
      <c r="M12" s="25">
        <v>7655</v>
      </c>
      <c r="N12" s="25">
        <v>7945</v>
      </c>
      <c r="O12" s="35">
        <v>7934</v>
      </c>
      <c r="P12" s="211">
        <v>8440</v>
      </c>
      <c r="Q12" s="25">
        <v>9746</v>
      </c>
      <c r="R12" s="25">
        <v>10664</v>
      </c>
      <c r="S12" s="25">
        <v>10789</v>
      </c>
      <c r="T12" s="211">
        <v>10516</v>
      </c>
      <c r="U12" s="25">
        <v>11207</v>
      </c>
      <c r="V12" s="25">
        <v>11285</v>
      </c>
      <c r="W12" s="25">
        <v>11392</v>
      </c>
      <c r="X12" s="211">
        <v>10508</v>
      </c>
      <c r="Y12" s="25">
        <v>10933</v>
      </c>
      <c r="Z12" s="25">
        <v>10531</v>
      </c>
      <c r="AA12" s="25">
        <v>9821</v>
      </c>
      <c r="AB12" s="211">
        <v>8930</v>
      </c>
      <c r="AC12" s="25">
        <v>9808</v>
      </c>
      <c r="AD12" s="25">
        <v>10271</v>
      </c>
      <c r="AE12" s="25">
        <v>11199</v>
      </c>
      <c r="AF12" s="211">
        <v>11861</v>
      </c>
      <c r="AG12" s="25">
        <v>13245</v>
      </c>
      <c r="AH12" s="25">
        <v>15119</v>
      </c>
      <c r="AI12" s="25">
        <v>16634</v>
      </c>
      <c r="AJ12" s="211">
        <v>16945</v>
      </c>
      <c r="AK12" s="25">
        <v>18930</v>
      </c>
      <c r="AL12" s="25">
        <v>20157</v>
      </c>
      <c r="AM12" s="25">
        <v>20031</v>
      </c>
      <c r="AN12" s="211">
        <v>18747</v>
      </c>
      <c r="AO12" s="25">
        <v>20592</v>
      </c>
      <c r="AP12" s="25">
        <v>21373</v>
      </c>
      <c r="AQ12" s="25">
        <v>20202</v>
      </c>
      <c r="AR12" s="211">
        <v>19191</v>
      </c>
      <c r="AS12" s="25">
        <v>18273</v>
      </c>
      <c r="AT12" s="25">
        <v>18018</v>
      </c>
    </row>
    <row r="13" spans="1:46" ht="10.5">
      <c r="A13" s="31" t="s">
        <v>116</v>
      </c>
      <c r="B13" s="25">
        <v>5203</v>
      </c>
      <c r="C13" s="35">
        <v>5701</v>
      </c>
      <c r="D13" s="223">
        <v>6271</v>
      </c>
      <c r="E13" s="223">
        <v>8005</v>
      </c>
      <c r="F13" s="223">
        <v>7287</v>
      </c>
      <c r="G13" s="223">
        <v>6045</v>
      </c>
      <c r="H13" s="223">
        <v>7174</v>
      </c>
      <c r="I13" s="223">
        <v>9581</v>
      </c>
      <c r="J13" s="223">
        <v>10455</v>
      </c>
      <c r="K13" s="223">
        <v>12424</v>
      </c>
      <c r="L13" s="227"/>
      <c r="M13" s="25">
        <v>5944</v>
      </c>
      <c r="N13" s="25">
        <v>5857</v>
      </c>
      <c r="O13" s="35">
        <v>5707</v>
      </c>
      <c r="P13" s="211">
        <v>6271</v>
      </c>
      <c r="Q13" s="25">
        <v>6909</v>
      </c>
      <c r="R13" s="25">
        <v>7898</v>
      </c>
      <c r="S13" s="25">
        <v>7821</v>
      </c>
      <c r="T13" s="211">
        <v>8005</v>
      </c>
      <c r="U13" s="25">
        <v>8501</v>
      </c>
      <c r="V13" s="25">
        <v>8757</v>
      </c>
      <c r="W13" s="25">
        <v>8068</v>
      </c>
      <c r="X13" s="211">
        <v>7287</v>
      </c>
      <c r="Y13" s="25">
        <v>7300</v>
      </c>
      <c r="Z13" s="25">
        <v>6139</v>
      </c>
      <c r="AA13" s="25">
        <v>6197</v>
      </c>
      <c r="AB13" s="211">
        <v>6045</v>
      </c>
      <c r="AC13" s="25">
        <v>6391</v>
      </c>
      <c r="AD13" s="25">
        <v>6669</v>
      </c>
      <c r="AE13" s="25">
        <v>6765</v>
      </c>
      <c r="AF13" s="211">
        <v>7174</v>
      </c>
      <c r="AG13" s="25">
        <v>8225</v>
      </c>
      <c r="AH13" s="25">
        <v>8381</v>
      </c>
      <c r="AI13" s="25">
        <v>9174</v>
      </c>
      <c r="AJ13" s="211">
        <v>9581</v>
      </c>
      <c r="AK13" s="25">
        <v>10088</v>
      </c>
      <c r="AL13" s="25">
        <v>11082</v>
      </c>
      <c r="AM13" s="25">
        <v>10832</v>
      </c>
      <c r="AN13" s="211">
        <v>10455</v>
      </c>
      <c r="AO13" s="25">
        <v>10607</v>
      </c>
      <c r="AP13" s="25">
        <v>11271</v>
      </c>
      <c r="AQ13" s="25">
        <v>10883</v>
      </c>
      <c r="AR13" s="211">
        <v>12424</v>
      </c>
      <c r="AS13" s="25">
        <v>11382</v>
      </c>
      <c r="AT13" s="25">
        <v>11790</v>
      </c>
    </row>
    <row r="14" spans="1:46" ht="10.5">
      <c r="A14" s="31" t="s">
        <v>109</v>
      </c>
      <c r="B14" s="25">
        <v>919</v>
      </c>
      <c r="C14" s="35">
        <v>877</v>
      </c>
      <c r="D14" s="223">
        <v>1362</v>
      </c>
      <c r="E14" s="223">
        <v>1289</v>
      </c>
      <c r="F14" s="223">
        <v>1597</v>
      </c>
      <c r="G14" s="223">
        <v>1414</v>
      </c>
      <c r="H14" s="223">
        <v>2057</v>
      </c>
      <c r="I14" s="223">
        <v>3195</v>
      </c>
      <c r="J14" s="223">
        <v>3093</v>
      </c>
      <c r="K14" s="223">
        <v>3868</v>
      </c>
      <c r="L14" s="227"/>
      <c r="M14" s="25">
        <v>985</v>
      </c>
      <c r="N14" s="25">
        <v>1066</v>
      </c>
      <c r="O14" s="35">
        <v>984</v>
      </c>
      <c r="P14" s="211">
        <v>1362</v>
      </c>
      <c r="Q14" s="25">
        <v>1199</v>
      </c>
      <c r="R14" s="25">
        <v>1259</v>
      </c>
      <c r="S14" s="25">
        <v>1277</v>
      </c>
      <c r="T14" s="211">
        <v>1289</v>
      </c>
      <c r="U14" s="25">
        <v>1232</v>
      </c>
      <c r="V14" s="25">
        <v>1386</v>
      </c>
      <c r="W14" s="25">
        <v>1340</v>
      </c>
      <c r="X14" s="211">
        <v>1597</v>
      </c>
      <c r="Y14" s="25">
        <v>1553</v>
      </c>
      <c r="Z14" s="25">
        <v>1498</v>
      </c>
      <c r="AA14" s="25">
        <v>1387</v>
      </c>
      <c r="AB14" s="211">
        <v>1414</v>
      </c>
      <c r="AC14" s="25">
        <v>1397</v>
      </c>
      <c r="AD14" s="25">
        <v>1681</v>
      </c>
      <c r="AE14" s="25">
        <v>1925</v>
      </c>
      <c r="AF14" s="211">
        <v>2057</v>
      </c>
      <c r="AG14" s="25">
        <v>2437</v>
      </c>
      <c r="AH14" s="25">
        <v>2760</v>
      </c>
      <c r="AI14" s="25">
        <v>3189</v>
      </c>
      <c r="AJ14" s="211">
        <v>3195</v>
      </c>
      <c r="AK14" s="25">
        <v>3331</v>
      </c>
      <c r="AL14" s="25">
        <v>3753</v>
      </c>
      <c r="AM14" s="25">
        <v>3390</v>
      </c>
      <c r="AN14" s="211">
        <v>3093</v>
      </c>
      <c r="AO14" s="25">
        <v>3131</v>
      </c>
      <c r="AP14" s="25">
        <v>3429</v>
      </c>
      <c r="AQ14" s="25">
        <v>3764</v>
      </c>
      <c r="AR14" s="211">
        <v>3868</v>
      </c>
      <c r="AS14" s="25">
        <v>3833</v>
      </c>
      <c r="AT14" s="25">
        <v>4353</v>
      </c>
    </row>
    <row r="15" spans="1:46" ht="10.5">
      <c r="A15" s="31" t="s">
        <v>76</v>
      </c>
      <c r="B15" s="25">
        <v>152</v>
      </c>
      <c r="C15" s="35">
        <v>63</v>
      </c>
      <c r="D15" s="223">
        <v>287</v>
      </c>
      <c r="E15" s="223">
        <v>333</v>
      </c>
      <c r="F15" s="223">
        <v>353</v>
      </c>
      <c r="G15" s="223">
        <v>189</v>
      </c>
      <c r="H15" s="223">
        <v>190</v>
      </c>
      <c r="I15" s="223">
        <v>315</v>
      </c>
      <c r="J15" s="223">
        <v>721</v>
      </c>
      <c r="K15" s="223">
        <v>1059</v>
      </c>
      <c r="L15" s="227"/>
      <c r="M15" s="25">
        <v>90</v>
      </c>
      <c r="N15" s="25">
        <v>140</v>
      </c>
      <c r="O15" s="35">
        <v>111</v>
      </c>
      <c r="P15" s="211">
        <v>287</v>
      </c>
      <c r="Q15" s="25">
        <v>330</v>
      </c>
      <c r="R15" s="25">
        <v>385</v>
      </c>
      <c r="S15" s="25">
        <v>576</v>
      </c>
      <c r="T15" s="211">
        <v>333</v>
      </c>
      <c r="U15" s="25">
        <v>412</v>
      </c>
      <c r="V15" s="25">
        <v>431</v>
      </c>
      <c r="W15" s="25">
        <v>472</v>
      </c>
      <c r="X15" s="211">
        <v>353</v>
      </c>
      <c r="Y15" s="25">
        <v>144</v>
      </c>
      <c r="Z15" s="25">
        <v>190</v>
      </c>
      <c r="AA15" s="25">
        <v>176</v>
      </c>
      <c r="AB15" s="211">
        <v>189</v>
      </c>
      <c r="AC15" s="25">
        <v>213</v>
      </c>
      <c r="AD15" s="25">
        <v>242</v>
      </c>
      <c r="AE15" s="25">
        <v>213</v>
      </c>
      <c r="AF15" s="211">
        <v>190</v>
      </c>
      <c r="AG15" s="25">
        <v>159</v>
      </c>
      <c r="AH15" s="25">
        <v>343</v>
      </c>
      <c r="AI15" s="25">
        <v>304</v>
      </c>
      <c r="AJ15" s="211">
        <v>315</v>
      </c>
      <c r="AK15" s="25">
        <v>292</v>
      </c>
      <c r="AL15" s="25">
        <v>592</v>
      </c>
      <c r="AM15" s="25">
        <v>698</v>
      </c>
      <c r="AN15" s="211">
        <v>721</v>
      </c>
      <c r="AO15" s="25">
        <v>708</v>
      </c>
      <c r="AP15" s="25">
        <v>1077</v>
      </c>
      <c r="AQ15" s="25">
        <v>1187</v>
      </c>
      <c r="AR15" s="211">
        <v>1059</v>
      </c>
      <c r="AS15" s="25">
        <v>1430</v>
      </c>
      <c r="AT15" s="25">
        <v>1181</v>
      </c>
    </row>
    <row r="16" spans="1:46" ht="10.5">
      <c r="A16" s="31" t="s">
        <v>77</v>
      </c>
      <c r="B16" s="25">
        <v>5918</v>
      </c>
      <c r="C16" s="35">
        <v>7100</v>
      </c>
      <c r="D16" s="223">
        <v>1152</v>
      </c>
      <c r="E16" s="223">
        <v>944</v>
      </c>
      <c r="F16" s="223">
        <v>862</v>
      </c>
      <c r="G16" s="223">
        <v>682</v>
      </c>
      <c r="H16" s="223">
        <v>828</v>
      </c>
      <c r="I16" s="223">
        <v>1010</v>
      </c>
      <c r="J16" s="223">
        <v>1703</v>
      </c>
      <c r="K16" s="223">
        <v>1483</v>
      </c>
      <c r="L16" s="227"/>
      <c r="M16" s="25">
        <v>5698</v>
      </c>
      <c r="N16" s="25">
        <v>6804</v>
      </c>
      <c r="O16" s="35">
        <v>3769</v>
      </c>
      <c r="P16" s="211">
        <v>1152</v>
      </c>
      <c r="Q16" s="25">
        <v>1123</v>
      </c>
      <c r="R16" s="25">
        <v>1228</v>
      </c>
      <c r="S16" s="25">
        <v>1029</v>
      </c>
      <c r="T16" s="211">
        <v>944</v>
      </c>
      <c r="U16" s="25">
        <v>1086</v>
      </c>
      <c r="V16" s="25">
        <v>1077</v>
      </c>
      <c r="W16" s="25">
        <v>1052</v>
      </c>
      <c r="X16" s="211">
        <v>862</v>
      </c>
      <c r="Y16" s="25">
        <v>932</v>
      </c>
      <c r="Z16" s="25">
        <v>792</v>
      </c>
      <c r="AA16" s="25">
        <v>783</v>
      </c>
      <c r="AB16" s="211">
        <v>682</v>
      </c>
      <c r="AC16" s="25">
        <v>893</v>
      </c>
      <c r="AD16" s="25">
        <v>772</v>
      </c>
      <c r="AE16" s="25">
        <v>770</v>
      </c>
      <c r="AF16" s="211">
        <v>828</v>
      </c>
      <c r="AG16" s="25">
        <v>908</v>
      </c>
      <c r="AH16" s="25">
        <v>1026</v>
      </c>
      <c r="AI16" s="25">
        <v>1527</v>
      </c>
      <c r="AJ16" s="211">
        <v>1010</v>
      </c>
      <c r="AK16" s="25">
        <v>1406</v>
      </c>
      <c r="AL16" s="25">
        <v>1613</v>
      </c>
      <c r="AM16" s="25">
        <v>1559</v>
      </c>
      <c r="AN16" s="211">
        <v>1703</v>
      </c>
      <c r="AO16" s="25">
        <v>1480</v>
      </c>
      <c r="AP16" s="25">
        <v>1483</v>
      </c>
      <c r="AQ16" s="25">
        <v>1315</v>
      </c>
      <c r="AR16" s="211">
        <v>1483</v>
      </c>
      <c r="AS16" s="25">
        <v>1670</v>
      </c>
      <c r="AT16" s="25">
        <v>1345</v>
      </c>
    </row>
    <row r="17" spans="1:46" ht="10.5">
      <c r="A17" s="31" t="s">
        <v>25</v>
      </c>
      <c r="B17" s="25">
        <v>461</v>
      </c>
      <c r="C17" s="35">
        <v>481</v>
      </c>
      <c r="D17" s="223">
        <v>1808</v>
      </c>
      <c r="E17" s="223">
        <v>5872</v>
      </c>
      <c r="F17" s="223">
        <v>8540</v>
      </c>
      <c r="G17" s="223">
        <v>15053</v>
      </c>
      <c r="H17" s="223">
        <v>10792</v>
      </c>
      <c r="I17" s="223">
        <v>7326</v>
      </c>
      <c r="J17" s="223">
        <v>6401</v>
      </c>
      <c r="K17" s="223">
        <v>7179</v>
      </c>
      <c r="L17" s="227"/>
      <c r="M17" s="25">
        <v>615</v>
      </c>
      <c r="N17" s="25">
        <v>610</v>
      </c>
      <c r="O17" s="35">
        <v>728</v>
      </c>
      <c r="P17" s="211">
        <v>1808</v>
      </c>
      <c r="Q17" s="25">
        <v>2255</v>
      </c>
      <c r="R17" s="25">
        <v>4205</v>
      </c>
      <c r="S17" s="25">
        <v>3949</v>
      </c>
      <c r="T17" s="211">
        <v>5872</v>
      </c>
      <c r="U17" s="25">
        <v>5371</v>
      </c>
      <c r="V17" s="25">
        <v>4883</v>
      </c>
      <c r="W17" s="25">
        <v>6814</v>
      </c>
      <c r="X17" s="211">
        <v>8540</v>
      </c>
      <c r="Y17" s="25">
        <v>10225</v>
      </c>
      <c r="Z17" s="25">
        <v>13005</v>
      </c>
      <c r="AA17" s="25">
        <v>14250</v>
      </c>
      <c r="AB17" s="211">
        <v>15053</v>
      </c>
      <c r="AC17" s="25">
        <v>16191</v>
      </c>
      <c r="AD17" s="25">
        <v>10931</v>
      </c>
      <c r="AE17" s="25">
        <v>11745</v>
      </c>
      <c r="AF17" s="211">
        <v>10792</v>
      </c>
      <c r="AG17" s="25">
        <v>11207</v>
      </c>
      <c r="AH17" s="25">
        <v>10380</v>
      </c>
      <c r="AI17" s="25">
        <v>11879</v>
      </c>
      <c r="AJ17" s="211">
        <v>7326</v>
      </c>
      <c r="AK17" s="25">
        <v>4587</v>
      </c>
      <c r="AL17" s="25">
        <v>4949</v>
      </c>
      <c r="AM17" s="25">
        <v>6330</v>
      </c>
      <c r="AN17" s="211">
        <v>6401</v>
      </c>
      <c r="AO17" s="25">
        <v>13879</v>
      </c>
      <c r="AP17" s="25">
        <v>6598</v>
      </c>
      <c r="AQ17" s="25">
        <v>7129</v>
      </c>
      <c r="AR17" s="211">
        <v>7179</v>
      </c>
      <c r="AS17" s="25">
        <v>9107</v>
      </c>
      <c r="AT17" s="25">
        <v>7659</v>
      </c>
    </row>
    <row r="18" spans="1:46" ht="10.5">
      <c r="A18" s="31" t="s">
        <v>460</v>
      </c>
      <c r="B18" s="68" t="s">
        <v>113</v>
      </c>
      <c r="C18" s="68" t="s">
        <v>113</v>
      </c>
      <c r="D18" s="68" t="s">
        <v>113</v>
      </c>
      <c r="E18" s="68" t="s">
        <v>113</v>
      </c>
      <c r="F18" s="68" t="s">
        <v>113</v>
      </c>
      <c r="G18" s="68" t="s">
        <v>113</v>
      </c>
      <c r="H18" s="68" t="s">
        <v>113</v>
      </c>
      <c r="I18" s="68">
        <v>103</v>
      </c>
      <c r="J18" s="68">
        <v>0</v>
      </c>
      <c r="K18" s="68" t="s">
        <v>113</v>
      </c>
      <c r="L18" s="227"/>
      <c r="M18" s="68" t="s">
        <v>113</v>
      </c>
      <c r="N18" s="68" t="s">
        <v>113</v>
      </c>
      <c r="O18" s="68" t="s">
        <v>113</v>
      </c>
      <c r="P18" s="213" t="s">
        <v>113</v>
      </c>
      <c r="Q18" s="68" t="s">
        <v>113</v>
      </c>
      <c r="R18" s="68" t="s">
        <v>113</v>
      </c>
      <c r="S18" s="68" t="s">
        <v>113</v>
      </c>
      <c r="T18" s="213" t="s">
        <v>113</v>
      </c>
      <c r="U18" s="68" t="s">
        <v>113</v>
      </c>
      <c r="V18" s="68" t="s">
        <v>113</v>
      </c>
      <c r="W18" s="68" t="s">
        <v>113</v>
      </c>
      <c r="X18" s="213" t="s">
        <v>113</v>
      </c>
      <c r="Y18" s="68" t="s">
        <v>113</v>
      </c>
      <c r="Z18" s="68" t="s">
        <v>113</v>
      </c>
      <c r="AA18" s="68" t="s">
        <v>113</v>
      </c>
      <c r="AB18" s="213" t="s">
        <v>113</v>
      </c>
      <c r="AC18" s="68" t="s">
        <v>113</v>
      </c>
      <c r="AD18" s="68" t="s">
        <v>113</v>
      </c>
      <c r="AE18" s="68" t="s">
        <v>113</v>
      </c>
      <c r="AF18" s="213" t="s">
        <v>113</v>
      </c>
      <c r="AG18" s="68" t="s">
        <v>113</v>
      </c>
      <c r="AH18" s="25">
        <v>98</v>
      </c>
      <c r="AI18" s="25">
        <v>100</v>
      </c>
      <c r="AJ18" s="213">
        <v>103</v>
      </c>
      <c r="AK18" s="68">
        <v>101</v>
      </c>
      <c r="AL18" s="25">
        <v>98</v>
      </c>
      <c r="AM18" s="25">
        <v>95</v>
      </c>
      <c r="AN18" s="213" t="s">
        <v>113</v>
      </c>
      <c r="AO18" s="68" t="s">
        <v>113</v>
      </c>
      <c r="AP18" s="68" t="s">
        <v>113</v>
      </c>
      <c r="AQ18" s="68" t="s">
        <v>113</v>
      </c>
      <c r="AR18" s="213" t="s">
        <v>113</v>
      </c>
      <c r="AS18" s="68" t="s">
        <v>113</v>
      </c>
      <c r="AT18" s="68" t="s">
        <v>113</v>
      </c>
    </row>
    <row r="19" spans="1:46" ht="10.5">
      <c r="A19" s="16" t="s">
        <v>26</v>
      </c>
      <c r="B19" s="17">
        <v>19806</v>
      </c>
      <c r="C19" s="36">
        <v>21283</v>
      </c>
      <c r="D19" s="224">
        <v>19320</v>
      </c>
      <c r="E19" s="224">
        <v>26959</v>
      </c>
      <c r="F19" s="224">
        <v>29147</v>
      </c>
      <c r="G19" s="224">
        <v>32313</v>
      </c>
      <c r="H19" s="224">
        <v>32902</v>
      </c>
      <c r="I19" s="224">
        <v>38475</v>
      </c>
      <c r="J19" s="224">
        <v>41120</v>
      </c>
      <c r="K19" s="224">
        <v>45204</v>
      </c>
      <c r="L19" s="227"/>
      <c r="M19" s="17">
        <v>20987</v>
      </c>
      <c r="N19" s="17">
        <v>22422</v>
      </c>
      <c r="O19" s="36">
        <v>19233</v>
      </c>
      <c r="P19" s="212">
        <v>19320</v>
      </c>
      <c r="Q19" s="17">
        <v>21562</v>
      </c>
      <c r="R19" s="17">
        <v>25639</v>
      </c>
      <c r="S19" s="17">
        <v>25441</v>
      </c>
      <c r="T19" s="212">
        <v>26959</v>
      </c>
      <c r="U19" s="17">
        <v>27809</v>
      </c>
      <c r="V19" s="17">
        <v>27819</v>
      </c>
      <c r="W19" s="17">
        <v>29138</v>
      </c>
      <c r="X19" s="212">
        <v>29147</v>
      </c>
      <c r="Y19" s="17">
        <v>31087</v>
      </c>
      <c r="Z19" s="17">
        <v>32155</v>
      </c>
      <c r="AA19" s="17">
        <v>32614</v>
      </c>
      <c r="AB19" s="212">
        <v>32313</v>
      </c>
      <c r="AC19" s="17">
        <v>34893</v>
      </c>
      <c r="AD19" s="17">
        <v>30566</v>
      </c>
      <c r="AE19" s="17">
        <v>32617</v>
      </c>
      <c r="AF19" s="212">
        <v>32902</v>
      </c>
      <c r="AG19" s="17">
        <v>36181</v>
      </c>
      <c r="AH19" s="17">
        <v>38107</v>
      </c>
      <c r="AI19" s="17">
        <v>42807</v>
      </c>
      <c r="AJ19" s="212">
        <v>38475</v>
      </c>
      <c r="AK19" s="17">
        <v>38735</v>
      </c>
      <c r="AL19" s="17">
        <v>42244</v>
      </c>
      <c r="AM19" s="17">
        <v>42935</v>
      </c>
      <c r="AN19" s="212">
        <v>41120</v>
      </c>
      <c r="AO19" s="17">
        <v>50397</v>
      </c>
      <c r="AP19" s="17">
        <v>45231</v>
      </c>
      <c r="AQ19" s="17">
        <v>44480</v>
      </c>
      <c r="AR19" s="212">
        <v>45204</v>
      </c>
      <c r="AS19" s="17">
        <v>45695</v>
      </c>
      <c r="AT19" s="17">
        <v>44346</v>
      </c>
    </row>
    <row r="20" spans="1:46" ht="10.5">
      <c r="A20" s="16" t="s">
        <v>31</v>
      </c>
      <c r="B20" s="17">
        <v>28418</v>
      </c>
      <c r="C20" s="36">
        <v>29984</v>
      </c>
      <c r="D20" s="224">
        <v>27547</v>
      </c>
      <c r="E20" s="224">
        <v>36155</v>
      </c>
      <c r="F20" s="224">
        <v>41037</v>
      </c>
      <c r="G20" s="224">
        <v>43886</v>
      </c>
      <c r="H20" s="224">
        <v>48583</v>
      </c>
      <c r="I20" s="224">
        <v>61780</v>
      </c>
      <c r="J20" s="224">
        <v>67784</v>
      </c>
      <c r="K20" s="224">
        <v>83589</v>
      </c>
      <c r="L20" s="227"/>
      <c r="M20" s="17">
        <v>29685</v>
      </c>
      <c r="N20" s="17">
        <v>30965</v>
      </c>
      <c r="O20" s="36">
        <v>27622</v>
      </c>
      <c r="P20" s="212">
        <v>27547</v>
      </c>
      <c r="Q20" s="17">
        <v>30465</v>
      </c>
      <c r="R20" s="17">
        <v>35024</v>
      </c>
      <c r="S20" s="17">
        <v>34487</v>
      </c>
      <c r="T20" s="212">
        <v>36155</v>
      </c>
      <c r="U20" s="17">
        <v>39662</v>
      </c>
      <c r="V20" s="17">
        <v>40148</v>
      </c>
      <c r="W20" s="17">
        <v>41525</v>
      </c>
      <c r="X20" s="212">
        <v>41037</v>
      </c>
      <c r="Y20" s="17">
        <v>43689</v>
      </c>
      <c r="Z20" s="17">
        <v>44324</v>
      </c>
      <c r="AA20" s="17">
        <v>44634</v>
      </c>
      <c r="AB20" s="212">
        <v>43886</v>
      </c>
      <c r="AC20" s="17">
        <v>46851</v>
      </c>
      <c r="AD20" s="17">
        <v>44517</v>
      </c>
      <c r="AE20" s="17">
        <v>47259</v>
      </c>
      <c r="AF20" s="212">
        <v>48583</v>
      </c>
      <c r="AG20" s="17">
        <v>52409</v>
      </c>
      <c r="AH20" s="17">
        <v>55543</v>
      </c>
      <c r="AI20" s="17">
        <v>61685</v>
      </c>
      <c r="AJ20" s="212">
        <v>61780</v>
      </c>
      <c r="AK20" s="17">
        <v>65302</v>
      </c>
      <c r="AL20" s="17">
        <v>70294</v>
      </c>
      <c r="AM20" s="17">
        <v>70640</v>
      </c>
      <c r="AN20" s="212">
        <v>67784</v>
      </c>
      <c r="AO20" s="17">
        <v>77934</v>
      </c>
      <c r="AP20" s="17">
        <v>81016</v>
      </c>
      <c r="AQ20" s="17">
        <v>81565</v>
      </c>
      <c r="AR20" s="212">
        <v>83589</v>
      </c>
      <c r="AS20" s="17">
        <v>80850</v>
      </c>
      <c r="AT20" s="17">
        <v>79352</v>
      </c>
    </row>
    <row r="21" spans="1:46" ht="10.5">
      <c r="A21" s="31"/>
      <c r="B21" s="25"/>
      <c r="C21" s="35"/>
      <c r="D21" s="223"/>
      <c r="E21" s="223"/>
      <c r="F21" s="219"/>
      <c r="G21" s="219"/>
      <c r="H21" s="219"/>
      <c r="I21" s="219"/>
      <c r="J21" s="219"/>
      <c r="K21" s="219"/>
      <c r="L21" s="227"/>
      <c r="M21" s="25"/>
      <c r="N21" s="25"/>
      <c r="O21" s="35"/>
      <c r="P21" s="211"/>
      <c r="Q21" s="25"/>
      <c r="R21" s="25"/>
      <c r="S21" s="25"/>
      <c r="T21" s="211"/>
      <c r="U21" s="25"/>
      <c r="V21" s="25"/>
      <c r="W21" s="25"/>
      <c r="X21" s="211"/>
      <c r="Y21" s="25"/>
      <c r="Z21" s="25"/>
      <c r="AA21" s="25"/>
      <c r="AB21" s="211"/>
      <c r="AC21" s="25" t="s">
        <v>257</v>
      </c>
      <c r="AD21" s="25"/>
      <c r="AE21" s="25"/>
      <c r="AF21" s="211"/>
      <c r="AG21" s="25"/>
      <c r="AH21" s="25"/>
      <c r="AI21" s="25"/>
      <c r="AJ21" s="211"/>
      <c r="AK21" s="25"/>
      <c r="AL21" s="25"/>
      <c r="AM21" s="25"/>
      <c r="AN21" s="211"/>
      <c r="AO21" s="25"/>
      <c r="AP21" s="25"/>
      <c r="AQ21" s="25"/>
      <c r="AR21" s="211"/>
      <c r="AS21" s="25"/>
      <c r="AT21" s="25"/>
    </row>
    <row r="22" spans="1:46" ht="10.5">
      <c r="A22" s="31" t="s">
        <v>78</v>
      </c>
      <c r="B22" s="25">
        <v>20</v>
      </c>
      <c r="C22" s="35">
        <v>20</v>
      </c>
      <c r="D22" s="223">
        <v>21</v>
      </c>
      <c r="E22" s="223">
        <v>500</v>
      </c>
      <c r="F22" s="223">
        <v>500</v>
      </c>
      <c r="G22" s="223">
        <v>500</v>
      </c>
      <c r="H22" s="223">
        <v>500</v>
      </c>
      <c r="I22" s="223">
        <v>500</v>
      </c>
      <c r="J22" s="223">
        <v>500</v>
      </c>
      <c r="K22" s="223">
        <v>500</v>
      </c>
      <c r="L22" s="227"/>
      <c r="M22" s="25">
        <v>20</v>
      </c>
      <c r="N22" s="25">
        <v>20</v>
      </c>
      <c r="O22" s="35">
        <v>20</v>
      </c>
      <c r="P22" s="211">
        <v>21</v>
      </c>
      <c r="Q22" s="25">
        <v>21</v>
      </c>
      <c r="R22" s="25">
        <v>500</v>
      </c>
      <c r="S22" s="25">
        <v>500</v>
      </c>
      <c r="T22" s="211">
        <v>500</v>
      </c>
      <c r="U22" s="25">
        <v>500</v>
      </c>
      <c r="V22" s="25">
        <v>500</v>
      </c>
      <c r="W22" s="25">
        <v>500</v>
      </c>
      <c r="X22" s="211">
        <v>500</v>
      </c>
      <c r="Y22" s="25">
        <v>500</v>
      </c>
      <c r="Z22" s="25">
        <v>500</v>
      </c>
      <c r="AA22" s="25">
        <v>500</v>
      </c>
      <c r="AB22" s="211">
        <v>500</v>
      </c>
      <c r="AC22" s="25">
        <v>500</v>
      </c>
      <c r="AD22" s="25">
        <v>500</v>
      </c>
      <c r="AE22" s="25">
        <v>500</v>
      </c>
      <c r="AF22" s="211">
        <v>500</v>
      </c>
      <c r="AG22" s="25">
        <v>500</v>
      </c>
      <c r="AH22" s="25">
        <v>500</v>
      </c>
      <c r="AI22" s="25">
        <v>500</v>
      </c>
      <c r="AJ22" s="211">
        <v>500</v>
      </c>
      <c r="AK22" s="25">
        <v>500</v>
      </c>
      <c r="AL22" s="25">
        <v>500</v>
      </c>
      <c r="AM22" s="25">
        <v>500</v>
      </c>
      <c r="AN22" s="211">
        <v>500</v>
      </c>
      <c r="AO22" s="25">
        <v>500</v>
      </c>
      <c r="AP22" s="25">
        <v>500</v>
      </c>
      <c r="AQ22" s="25">
        <v>500</v>
      </c>
      <c r="AR22" s="211">
        <v>500</v>
      </c>
      <c r="AS22" s="25">
        <v>500</v>
      </c>
      <c r="AT22" s="25">
        <v>500</v>
      </c>
    </row>
    <row r="23" spans="1:46" ht="10.5">
      <c r="A23" s="31" t="s">
        <v>79</v>
      </c>
      <c r="B23" s="25">
        <v>14815</v>
      </c>
      <c r="C23" s="35">
        <v>15793</v>
      </c>
      <c r="D23" s="223">
        <v>12020</v>
      </c>
      <c r="E23" s="223">
        <v>18297</v>
      </c>
      <c r="F23" s="223">
        <v>22261</v>
      </c>
      <c r="G23" s="223">
        <v>23193</v>
      </c>
      <c r="H23" s="223">
        <v>25229</v>
      </c>
      <c r="I23" s="223">
        <v>32520</v>
      </c>
      <c r="J23" s="223">
        <v>36322</v>
      </c>
      <c r="K23" s="223">
        <v>42257</v>
      </c>
      <c r="L23" s="227"/>
      <c r="M23" s="25">
        <v>17321</v>
      </c>
      <c r="N23" s="25">
        <v>16130</v>
      </c>
      <c r="O23" s="35">
        <v>12495</v>
      </c>
      <c r="P23" s="211">
        <v>12020</v>
      </c>
      <c r="Q23" s="25">
        <v>16024</v>
      </c>
      <c r="R23" s="25">
        <v>16989</v>
      </c>
      <c r="S23" s="25">
        <v>16859</v>
      </c>
      <c r="T23" s="211">
        <v>18297</v>
      </c>
      <c r="U23" s="25">
        <v>20131</v>
      </c>
      <c r="V23" s="25">
        <v>19340</v>
      </c>
      <c r="W23" s="25">
        <v>21282</v>
      </c>
      <c r="X23" s="211">
        <v>22261</v>
      </c>
      <c r="Y23" s="25">
        <v>24157</v>
      </c>
      <c r="Z23" s="25">
        <v>22831</v>
      </c>
      <c r="AA23" s="25">
        <v>24009</v>
      </c>
      <c r="AB23" s="211">
        <v>23193</v>
      </c>
      <c r="AC23" s="25">
        <v>25654</v>
      </c>
      <c r="AD23" s="25">
        <v>20477</v>
      </c>
      <c r="AE23" s="25">
        <v>22745</v>
      </c>
      <c r="AF23" s="211">
        <v>25229</v>
      </c>
      <c r="AG23" s="25">
        <v>28254</v>
      </c>
      <c r="AH23" s="25">
        <v>28093</v>
      </c>
      <c r="AI23" s="25">
        <v>31260</v>
      </c>
      <c r="AJ23" s="211">
        <v>32520</v>
      </c>
      <c r="AK23" s="25">
        <v>34485</v>
      </c>
      <c r="AL23" s="25">
        <v>34200</v>
      </c>
      <c r="AM23" s="25">
        <v>36141</v>
      </c>
      <c r="AN23" s="211">
        <v>36322</v>
      </c>
      <c r="AO23" s="25">
        <v>39867</v>
      </c>
      <c r="AP23" s="25">
        <v>37198</v>
      </c>
      <c r="AQ23" s="25">
        <v>38725</v>
      </c>
      <c r="AR23" s="211">
        <v>42257</v>
      </c>
      <c r="AS23" s="25">
        <v>41602</v>
      </c>
      <c r="AT23" s="25">
        <v>38079</v>
      </c>
    </row>
    <row r="24" spans="1:46" ht="10.5">
      <c r="A24" s="34" t="s">
        <v>27</v>
      </c>
      <c r="B24" s="36">
        <v>14835</v>
      </c>
      <c r="C24" s="36">
        <v>15813</v>
      </c>
      <c r="D24" s="224">
        <v>12041</v>
      </c>
      <c r="E24" s="224">
        <v>18797</v>
      </c>
      <c r="F24" s="224">
        <v>22761</v>
      </c>
      <c r="G24" s="224">
        <v>23693</v>
      </c>
      <c r="H24" s="224">
        <v>25729</v>
      </c>
      <c r="I24" s="224">
        <v>33020</v>
      </c>
      <c r="J24" s="224">
        <v>36822</v>
      </c>
      <c r="K24" s="224">
        <v>42757</v>
      </c>
      <c r="L24" s="227"/>
      <c r="M24" s="17">
        <v>17341</v>
      </c>
      <c r="N24" s="17">
        <v>16150</v>
      </c>
      <c r="O24" s="36">
        <v>12515</v>
      </c>
      <c r="P24" s="212">
        <v>12041</v>
      </c>
      <c r="Q24" s="17">
        <v>16045</v>
      </c>
      <c r="R24" s="17">
        <v>17489</v>
      </c>
      <c r="S24" s="17">
        <v>17359</v>
      </c>
      <c r="T24" s="212">
        <v>18797</v>
      </c>
      <c r="U24" s="17">
        <v>20631</v>
      </c>
      <c r="V24" s="17">
        <v>19840</v>
      </c>
      <c r="W24" s="17">
        <v>21782</v>
      </c>
      <c r="X24" s="212">
        <v>22761</v>
      </c>
      <c r="Y24" s="17">
        <v>24657</v>
      </c>
      <c r="Z24" s="17">
        <v>23331</v>
      </c>
      <c r="AA24" s="17">
        <v>24509</v>
      </c>
      <c r="AB24" s="212">
        <v>23693</v>
      </c>
      <c r="AC24" s="17">
        <v>26154</v>
      </c>
      <c r="AD24" s="17">
        <v>20977</v>
      </c>
      <c r="AE24" s="17">
        <v>23245</v>
      </c>
      <c r="AF24" s="212">
        <v>25729</v>
      </c>
      <c r="AG24" s="17">
        <v>28754</v>
      </c>
      <c r="AH24" s="17">
        <v>28593</v>
      </c>
      <c r="AI24" s="17">
        <v>31760</v>
      </c>
      <c r="AJ24" s="212">
        <v>33020</v>
      </c>
      <c r="AK24" s="17">
        <v>34985</v>
      </c>
      <c r="AL24" s="17">
        <v>34700</v>
      </c>
      <c r="AM24" s="17">
        <v>36641</v>
      </c>
      <c r="AN24" s="212">
        <v>36822</v>
      </c>
      <c r="AO24" s="17">
        <v>40367</v>
      </c>
      <c r="AP24" s="17">
        <v>37698</v>
      </c>
      <c r="AQ24" s="17">
        <v>39225</v>
      </c>
      <c r="AR24" s="212">
        <v>42757</v>
      </c>
      <c r="AS24" s="17">
        <v>42102</v>
      </c>
      <c r="AT24" s="17">
        <v>38579</v>
      </c>
    </row>
    <row r="25" spans="1:46" ht="10.5">
      <c r="A25" s="31" t="s">
        <v>961</v>
      </c>
      <c r="B25" s="25">
        <v>94</v>
      </c>
      <c r="C25" s="35">
        <v>0</v>
      </c>
      <c r="D25" s="223">
        <v>6</v>
      </c>
      <c r="E25" s="223">
        <v>50</v>
      </c>
      <c r="F25" s="223">
        <v>52</v>
      </c>
      <c r="G25" s="223">
        <v>46</v>
      </c>
      <c r="H25" s="223">
        <v>56</v>
      </c>
      <c r="I25" s="223">
        <v>488</v>
      </c>
      <c r="J25" s="223">
        <v>388</v>
      </c>
      <c r="K25" s="223">
        <v>423</v>
      </c>
      <c r="L25" s="227"/>
      <c r="M25" s="25">
        <v>6</v>
      </c>
      <c r="N25" s="25">
        <v>6</v>
      </c>
      <c r="O25" s="35">
        <v>6</v>
      </c>
      <c r="P25" s="211">
        <v>6</v>
      </c>
      <c r="Q25" s="25">
        <v>45</v>
      </c>
      <c r="R25" s="25">
        <v>48</v>
      </c>
      <c r="S25" s="25">
        <v>47</v>
      </c>
      <c r="T25" s="211">
        <v>50</v>
      </c>
      <c r="U25" s="25">
        <v>54</v>
      </c>
      <c r="V25" s="25">
        <v>49</v>
      </c>
      <c r="W25" s="25">
        <v>52</v>
      </c>
      <c r="X25" s="211">
        <v>52</v>
      </c>
      <c r="Y25" s="25">
        <v>55</v>
      </c>
      <c r="Z25" s="25">
        <v>52</v>
      </c>
      <c r="AA25" s="25">
        <v>47</v>
      </c>
      <c r="AB25" s="211">
        <v>46</v>
      </c>
      <c r="AC25" s="25">
        <v>52</v>
      </c>
      <c r="AD25" s="25">
        <v>51</v>
      </c>
      <c r="AE25" s="25">
        <v>56</v>
      </c>
      <c r="AF25" s="211">
        <v>56</v>
      </c>
      <c r="AG25" s="25">
        <v>63</v>
      </c>
      <c r="AH25" s="25">
        <v>70</v>
      </c>
      <c r="AI25" s="25">
        <v>6</v>
      </c>
      <c r="AJ25" s="211">
        <v>488</v>
      </c>
      <c r="AK25" s="25">
        <v>479</v>
      </c>
      <c r="AL25" s="25">
        <v>505</v>
      </c>
      <c r="AM25" s="25">
        <v>502</v>
      </c>
      <c r="AN25" s="211">
        <v>388</v>
      </c>
      <c r="AO25" s="25">
        <v>397</v>
      </c>
      <c r="AP25" s="25">
        <v>406</v>
      </c>
      <c r="AQ25" s="25">
        <v>405</v>
      </c>
      <c r="AR25" s="211">
        <v>423</v>
      </c>
      <c r="AS25" s="25">
        <v>368</v>
      </c>
      <c r="AT25" s="25">
        <v>17</v>
      </c>
    </row>
    <row r="26" spans="1:46" ht="10.5">
      <c r="A26" s="16" t="s">
        <v>91</v>
      </c>
      <c r="B26" s="17">
        <v>14929</v>
      </c>
      <c r="C26" s="36">
        <v>15813</v>
      </c>
      <c r="D26" s="224">
        <v>12047</v>
      </c>
      <c r="E26" s="224">
        <v>18847</v>
      </c>
      <c r="F26" s="224">
        <v>22813</v>
      </c>
      <c r="G26" s="224">
        <v>23739</v>
      </c>
      <c r="H26" s="224">
        <v>25785</v>
      </c>
      <c r="I26" s="224">
        <v>33508</v>
      </c>
      <c r="J26" s="224">
        <v>37210</v>
      </c>
      <c r="K26" s="224">
        <v>43180</v>
      </c>
      <c r="L26" s="227"/>
      <c r="M26" s="17">
        <v>17347</v>
      </c>
      <c r="N26" s="17">
        <v>16156</v>
      </c>
      <c r="O26" s="36">
        <v>12521</v>
      </c>
      <c r="P26" s="212">
        <v>12047</v>
      </c>
      <c r="Q26" s="17">
        <v>16090</v>
      </c>
      <c r="R26" s="17">
        <v>17537</v>
      </c>
      <c r="S26" s="17">
        <v>17406</v>
      </c>
      <c r="T26" s="212">
        <v>18847</v>
      </c>
      <c r="U26" s="17">
        <v>20685</v>
      </c>
      <c r="V26" s="17">
        <v>19889</v>
      </c>
      <c r="W26" s="17">
        <v>21834</v>
      </c>
      <c r="X26" s="212">
        <v>22813</v>
      </c>
      <c r="Y26" s="17">
        <v>24712</v>
      </c>
      <c r="Z26" s="17">
        <v>23383</v>
      </c>
      <c r="AA26" s="17">
        <v>24556</v>
      </c>
      <c r="AB26" s="212">
        <v>23739</v>
      </c>
      <c r="AC26" s="17">
        <v>26206</v>
      </c>
      <c r="AD26" s="17">
        <v>21028</v>
      </c>
      <c r="AE26" s="17">
        <v>23301</v>
      </c>
      <c r="AF26" s="212">
        <v>25785</v>
      </c>
      <c r="AG26" s="17">
        <v>28817</v>
      </c>
      <c r="AH26" s="17">
        <v>28663</v>
      </c>
      <c r="AI26" s="17">
        <v>31766</v>
      </c>
      <c r="AJ26" s="212">
        <v>33508</v>
      </c>
      <c r="AK26" s="17">
        <v>35464</v>
      </c>
      <c r="AL26" s="17">
        <v>35205</v>
      </c>
      <c r="AM26" s="17">
        <v>37143</v>
      </c>
      <c r="AN26" s="212">
        <v>37210</v>
      </c>
      <c r="AO26" s="17">
        <v>40764</v>
      </c>
      <c r="AP26" s="17">
        <v>38104</v>
      </c>
      <c r="AQ26" s="17">
        <v>39630</v>
      </c>
      <c r="AR26" s="212">
        <v>43180</v>
      </c>
      <c r="AS26" s="17">
        <v>42470</v>
      </c>
      <c r="AT26" s="17">
        <v>38596</v>
      </c>
    </row>
    <row r="27" spans="1:46" ht="10.5">
      <c r="A27" s="31" t="s">
        <v>171</v>
      </c>
      <c r="B27" s="25">
        <v>4169</v>
      </c>
      <c r="C27" s="35">
        <v>4193</v>
      </c>
      <c r="D27" s="223">
        <v>2250</v>
      </c>
      <c r="E27" s="223">
        <v>5095</v>
      </c>
      <c r="F27" s="223">
        <v>7724</v>
      </c>
      <c r="G27" s="223">
        <v>9491</v>
      </c>
      <c r="H27" s="223">
        <v>8562</v>
      </c>
      <c r="I27" s="223">
        <v>8877</v>
      </c>
      <c r="J27" s="223">
        <v>11822</v>
      </c>
      <c r="K27" s="223">
        <v>19612</v>
      </c>
      <c r="L27" s="227"/>
      <c r="M27" s="25">
        <v>4268</v>
      </c>
      <c r="N27" s="25">
        <v>5768</v>
      </c>
      <c r="O27" s="35">
        <v>6194</v>
      </c>
      <c r="P27" s="211">
        <v>2250</v>
      </c>
      <c r="Q27" s="25">
        <v>3868</v>
      </c>
      <c r="R27" s="25">
        <v>1179</v>
      </c>
      <c r="S27" s="25">
        <v>1097</v>
      </c>
      <c r="T27" s="211">
        <v>5095</v>
      </c>
      <c r="U27" s="25">
        <v>7828</v>
      </c>
      <c r="V27" s="25">
        <v>7848</v>
      </c>
      <c r="W27" s="25">
        <v>7877</v>
      </c>
      <c r="X27" s="211">
        <v>7724</v>
      </c>
      <c r="Y27" s="25">
        <v>7730</v>
      </c>
      <c r="Z27" s="25">
        <v>7686</v>
      </c>
      <c r="AA27" s="25">
        <v>7668</v>
      </c>
      <c r="AB27" s="211">
        <v>9491</v>
      </c>
      <c r="AC27" s="25">
        <v>9585</v>
      </c>
      <c r="AD27" s="25">
        <v>8527</v>
      </c>
      <c r="AE27" s="25">
        <v>8592</v>
      </c>
      <c r="AF27" s="211">
        <v>8562</v>
      </c>
      <c r="AG27" s="25">
        <v>8641</v>
      </c>
      <c r="AH27" s="25">
        <v>8788</v>
      </c>
      <c r="AI27" s="25">
        <v>9880</v>
      </c>
      <c r="AJ27" s="211">
        <v>8877</v>
      </c>
      <c r="AK27" s="25">
        <v>8813</v>
      </c>
      <c r="AL27" s="25">
        <v>10344</v>
      </c>
      <c r="AM27" s="25">
        <v>10798</v>
      </c>
      <c r="AN27" s="211">
        <v>11822</v>
      </c>
      <c r="AO27" s="25">
        <v>17694</v>
      </c>
      <c r="AP27" s="25">
        <v>17977</v>
      </c>
      <c r="AQ27" s="25">
        <v>18051</v>
      </c>
      <c r="AR27" s="211">
        <v>19612</v>
      </c>
      <c r="AS27" s="25">
        <v>18992</v>
      </c>
      <c r="AT27" s="25">
        <v>17067</v>
      </c>
    </row>
    <row r="28" spans="1:46" ht="10.5">
      <c r="A28" s="31" t="s">
        <v>28</v>
      </c>
      <c r="B28" s="25">
        <v>259</v>
      </c>
      <c r="C28" s="35">
        <v>253</v>
      </c>
      <c r="D28" s="223">
        <v>181</v>
      </c>
      <c r="E28" s="223">
        <v>283</v>
      </c>
      <c r="F28" s="223">
        <v>596</v>
      </c>
      <c r="G28" s="223">
        <v>806</v>
      </c>
      <c r="H28" s="223">
        <v>356</v>
      </c>
      <c r="I28" s="223">
        <v>149</v>
      </c>
      <c r="J28" s="223">
        <v>251</v>
      </c>
      <c r="K28" s="223">
        <v>201</v>
      </c>
      <c r="L28" s="227"/>
      <c r="M28" s="25">
        <v>187</v>
      </c>
      <c r="N28" s="25">
        <v>183</v>
      </c>
      <c r="O28" s="35">
        <v>177</v>
      </c>
      <c r="P28" s="211">
        <v>181</v>
      </c>
      <c r="Q28" s="25">
        <v>145</v>
      </c>
      <c r="R28" s="25">
        <v>176</v>
      </c>
      <c r="S28" s="25">
        <v>212</v>
      </c>
      <c r="T28" s="211">
        <v>283</v>
      </c>
      <c r="U28" s="25">
        <v>380</v>
      </c>
      <c r="V28" s="25">
        <v>460</v>
      </c>
      <c r="W28" s="25">
        <v>640</v>
      </c>
      <c r="X28" s="211">
        <v>596</v>
      </c>
      <c r="Y28" s="25">
        <v>540</v>
      </c>
      <c r="Z28" s="25">
        <v>656</v>
      </c>
      <c r="AA28" s="25">
        <v>545</v>
      </c>
      <c r="AB28" s="211">
        <v>806</v>
      </c>
      <c r="AC28" s="25">
        <v>553</v>
      </c>
      <c r="AD28" s="25">
        <v>612</v>
      </c>
      <c r="AE28" s="25">
        <v>405</v>
      </c>
      <c r="AF28" s="211">
        <v>356</v>
      </c>
      <c r="AG28" s="25">
        <v>116</v>
      </c>
      <c r="AH28" s="25">
        <v>118</v>
      </c>
      <c r="AI28" s="25">
        <v>127</v>
      </c>
      <c r="AJ28" s="211">
        <v>149</v>
      </c>
      <c r="AK28" s="25">
        <v>139</v>
      </c>
      <c r="AL28" s="25">
        <v>148</v>
      </c>
      <c r="AM28" s="25">
        <v>144</v>
      </c>
      <c r="AN28" s="211">
        <v>251</v>
      </c>
      <c r="AO28" s="25">
        <v>153</v>
      </c>
      <c r="AP28" s="25">
        <v>133</v>
      </c>
      <c r="AQ28" s="25">
        <v>134</v>
      </c>
      <c r="AR28" s="211">
        <v>201</v>
      </c>
      <c r="AS28" s="25">
        <v>169</v>
      </c>
      <c r="AT28" s="25">
        <v>171</v>
      </c>
    </row>
    <row r="29" spans="1:46" ht="10.5">
      <c r="A29" s="31" t="s">
        <v>83</v>
      </c>
      <c r="B29" s="25">
        <v>140</v>
      </c>
      <c r="C29" s="35">
        <v>203</v>
      </c>
      <c r="D29" s="226">
        <v>289</v>
      </c>
      <c r="E29" s="226">
        <v>412</v>
      </c>
      <c r="F29" s="226">
        <v>423</v>
      </c>
      <c r="G29" s="226">
        <v>377</v>
      </c>
      <c r="H29" s="226">
        <v>657</v>
      </c>
      <c r="I29" s="226">
        <v>652</v>
      </c>
      <c r="J29" s="226">
        <v>576</v>
      </c>
      <c r="K29" s="226">
        <v>607</v>
      </c>
      <c r="L29" s="227"/>
      <c r="M29" s="28">
        <v>235</v>
      </c>
      <c r="N29" s="28">
        <v>269</v>
      </c>
      <c r="O29" s="35">
        <v>251</v>
      </c>
      <c r="P29" s="214">
        <v>289</v>
      </c>
      <c r="Q29" s="28">
        <v>283</v>
      </c>
      <c r="R29" s="28">
        <v>325</v>
      </c>
      <c r="S29" s="28">
        <v>418</v>
      </c>
      <c r="T29" s="214">
        <v>412</v>
      </c>
      <c r="U29" s="28">
        <v>442</v>
      </c>
      <c r="V29" s="28">
        <v>452</v>
      </c>
      <c r="W29" s="28">
        <v>399</v>
      </c>
      <c r="X29" s="214">
        <v>423</v>
      </c>
      <c r="Y29" s="28">
        <v>327</v>
      </c>
      <c r="Z29" s="28">
        <v>396</v>
      </c>
      <c r="AA29" s="28">
        <v>338</v>
      </c>
      <c r="AB29" s="214">
        <v>377</v>
      </c>
      <c r="AC29" s="28">
        <v>511</v>
      </c>
      <c r="AD29" s="28">
        <v>680</v>
      </c>
      <c r="AE29" s="28">
        <v>621</v>
      </c>
      <c r="AF29" s="214">
        <v>657</v>
      </c>
      <c r="AG29" s="28">
        <v>544</v>
      </c>
      <c r="AH29" s="28">
        <v>454</v>
      </c>
      <c r="AI29" s="28">
        <v>469</v>
      </c>
      <c r="AJ29" s="214">
        <v>652</v>
      </c>
      <c r="AK29" s="28">
        <v>697</v>
      </c>
      <c r="AL29" s="28">
        <v>690</v>
      </c>
      <c r="AM29" s="28">
        <v>598</v>
      </c>
      <c r="AN29" s="214">
        <v>576</v>
      </c>
      <c r="AO29" s="28">
        <v>607</v>
      </c>
      <c r="AP29" s="28">
        <v>563</v>
      </c>
      <c r="AQ29" s="28">
        <v>635</v>
      </c>
      <c r="AR29" s="214">
        <v>607</v>
      </c>
      <c r="AS29" s="28">
        <v>547</v>
      </c>
      <c r="AT29" s="28">
        <v>498</v>
      </c>
    </row>
    <row r="30" spans="1:46" ht="10.5">
      <c r="A30" s="31" t="s">
        <v>220</v>
      </c>
      <c r="B30" s="68" t="s">
        <v>113</v>
      </c>
      <c r="C30" s="68" t="s">
        <v>113</v>
      </c>
      <c r="D30" s="225" t="s">
        <v>113</v>
      </c>
      <c r="E30" s="225" t="s">
        <v>113</v>
      </c>
      <c r="F30" s="225" t="s">
        <v>113</v>
      </c>
      <c r="G30" s="225">
        <v>606</v>
      </c>
      <c r="H30" s="225">
        <v>785</v>
      </c>
      <c r="I30" s="225">
        <v>1215</v>
      </c>
      <c r="J30" s="225">
        <v>922</v>
      </c>
      <c r="K30" s="225">
        <v>1737</v>
      </c>
      <c r="L30" s="227"/>
      <c r="M30" s="68" t="s">
        <v>113</v>
      </c>
      <c r="N30" s="68" t="s">
        <v>113</v>
      </c>
      <c r="O30" s="68" t="s">
        <v>113</v>
      </c>
      <c r="P30" s="213" t="s">
        <v>113</v>
      </c>
      <c r="Q30" s="68" t="s">
        <v>113</v>
      </c>
      <c r="R30" s="68" t="s">
        <v>113</v>
      </c>
      <c r="S30" s="68" t="s">
        <v>113</v>
      </c>
      <c r="T30" s="213" t="s">
        <v>113</v>
      </c>
      <c r="U30" s="68" t="s">
        <v>113</v>
      </c>
      <c r="V30" s="68" t="s">
        <v>113</v>
      </c>
      <c r="W30" s="68" t="s">
        <v>113</v>
      </c>
      <c r="X30" s="213" t="s">
        <v>113</v>
      </c>
      <c r="Y30" s="25">
        <v>730</v>
      </c>
      <c r="Z30" s="25">
        <v>662</v>
      </c>
      <c r="AA30" s="25">
        <v>697</v>
      </c>
      <c r="AB30" s="211">
        <v>606</v>
      </c>
      <c r="AC30" s="25">
        <v>560</v>
      </c>
      <c r="AD30" s="25">
        <v>729</v>
      </c>
      <c r="AE30" s="25">
        <v>730</v>
      </c>
      <c r="AF30" s="211">
        <v>785</v>
      </c>
      <c r="AG30" s="25">
        <v>825</v>
      </c>
      <c r="AH30" s="25">
        <v>872</v>
      </c>
      <c r="AI30" s="25">
        <v>973</v>
      </c>
      <c r="AJ30" s="211">
        <v>1215</v>
      </c>
      <c r="AK30" s="25">
        <v>1207</v>
      </c>
      <c r="AL30" s="25">
        <v>1048</v>
      </c>
      <c r="AM30" s="25">
        <v>953</v>
      </c>
      <c r="AN30" s="211">
        <v>922</v>
      </c>
      <c r="AO30" s="25">
        <v>955</v>
      </c>
      <c r="AP30" s="25">
        <v>1477</v>
      </c>
      <c r="AQ30" s="25">
        <v>1500</v>
      </c>
      <c r="AR30" s="211">
        <v>1737</v>
      </c>
      <c r="AS30" s="25">
        <v>1496</v>
      </c>
      <c r="AT30" s="25">
        <v>1322</v>
      </c>
    </row>
    <row r="31" spans="1:46" ht="10.5">
      <c r="A31" s="16" t="s">
        <v>29</v>
      </c>
      <c r="B31" s="17">
        <v>4568</v>
      </c>
      <c r="C31" s="36">
        <v>4649</v>
      </c>
      <c r="D31" s="224">
        <v>2720</v>
      </c>
      <c r="E31" s="224">
        <v>5790</v>
      </c>
      <c r="F31" s="224">
        <v>8743</v>
      </c>
      <c r="G31" s="224">
        <v>11280</v>
      </c>
      <c r="H31" s="224">
        <v>10360</v>
      </c>
      <c r="I31" s="224">
        <v>10893</v>
      </c>
      <c r="J31" s="224">
        <v>13571</v>
      </c>
      <c r="K31" s="224">
        <v>22157</v>
      </c>
      <c r="L31" s="227"/>
      <c r="M31" s="17">
        <v>4690</v>
      </c>
      <c r="N31" s="17">
        <v>6220</v>
      </c>
      <c r="O31" s="36">
        <v>6622</v>
      </c>
      <c r="P31" s="212">
        <v>2720</v>
      </c>
      <c r="Q31" s="17">
        <v>4296</v>
      </c>
      <c r="R31" s="17">
        <v>1680</v>
      </c>
      <c r="S31" s="17">
        <v>1727</v>
      </c>
      <c r="T31" s="212">
        <v>5790</v>
      </c>
      <c r="U31" s="17">
        <v>8650</v>
      </c>
      <c r="V31" s="17">
        <v>8760</v>
      </c>
      <c r="W31" s="17">
        <v>8916</v>
      </c>
      <c r="X31" s="212">
        <v>8743</v>
      </c>
      <c r="Y31" s="17">
        <v>9327</v>
      </c>
      <c r="Z31" s="17">
        <v>9400</v>
      </c>
      <c r="AA31" s="17">
        <v>9248</v>
      </c>
      <c r="AB31" s="212">
        <v>11280</v>
      </c>
      <c r="AC31" s="17">
        <v>11209</v>
      </c>
      <c r="AD31" s="17">
        <v>10548</v>
      </c>
      <c r="AE31" s="17">
        <v>10348</v>
      </c>
      <c r="AF31" s="212">
        <v>10360</v>
      </c>
      <c r="AG31" s="17">
        <v>10126</v>
      </c>
      <c r="AH31" s="17">
        <v>10232</v>
      </c>
      <c r="AI31" s="17">
        <v>11449</v>
      </c>
      <c r="AJ31" s="212">
        <v>10893</v>
      </c>
      <c r="AK31" s="17">
        <v>10856</v>
      </c>
      <c r="AL31" s="17">
        <v>12230</v>
      </c>
      <c r="AM31" s="17">
        <v>12493</v>
      </c>
      <c r="AN31" s="212">
        <v>13571</v>
      </c>
      <c r="AO31" s="17">
        <v>19409</v>
      </c>
      <c r="AP31" s="17">
        <v>20150</v>
      </c>
      <c r="AQ31" s="17">
        <v>20320</v>
      </c>
      <c r="AR31" s="212">
        <v>22157</v>
      </c>
      <c r="AS31" s="17">
        <v>21204</v>
      </c>
      <c r="AT31" s="17">
        <v>19058</v>
      </c>
    </row>
    <row r="32" spans="1:46" ht="10.5">
      <c r="A32" s="31" t="s">
        <v>171</v>
      </c>
      <c r="B32" s="25">
        <v>3043</v>
      </c>
      <c r="C32" s="35">
        <v>3674</v>
      </c>
      <c r="D32" s="223">
        <v>4808</v>
      </c>
      <c r="E32" s="223">
        <v>1702</v>
      </c>
      <c r="F32" s="223">
        <v>705</v>
      </c>
      <c r="G32" s="223">
        <v>664</v>
      </c>
      <c r="H32" s="223">
        <v>628</v>
      </c>
      <c r="I32" s="223">
        <v>1999</v>
      </c>
      <c r="J32" s="223">
        <v>2153</v>
      </c>
      <c r="K32" s="223">
        <v>2405</v>
      </c>
      <c r="L32" s="227"/>
      <c r="M32" s="25">
        <v>762</v>
      </c>
      <c r="N32" s="25">
        <v>854</v>
      </c>
      <c r="O32" s="35">
        <v>733</v>
      </c>
      <c r="P32" s="211">
        <v>4808</v>
      </c>
      <c r="Q32" s="25">
        <v>792</v>
      </c>
      <c r="R32" s="25">
        <v>5931</v>
      </c>
      <c r="S32" s="25">
        <v>5786</v>
      </c>
      <c r="T32" s="211">
        <v>1702</v>
      </c>
      <c r="U32" s="25">
        <v>827</v>
      </c>
      <c r="V32" s="25">
        <v>803</v>
      </c>
      <c r="W32" s="25">
        <v>750</v>
      </c>
      <c r="X32" s="211">
        <v>705</v>
      </c>
      <c r="Y32" s="25">
        <v>819</v>
      </c>
      <c r="Z32" s="25">
        <v>2856</v>
      </c>
      <c r="AA32" s="25">
        <v>2475</v>
      </c>
      <c r="AB32" s="211">
        <v>664</v>
      </c>
      <c r="AC32" s="25">
        <v>470</v>
      </c>
      <c r="AD32" s="25">
        <v>1530</v>
      </c>
      <c r="AE32" s="25">
        <v>1583</v>
      </c>
      <c r="AF32" s="211">
        <v>628</v>
      </c>
      <c r="AG32" s="25">
        <v>677</v>
      </c>
      <c r="AH32" s="25">
        <v>725</v>
      </c>
      <c r="AI32" s="25">
        <v>785</v>
      </c>
      <c r="AJ32" s="211">
        <v>1999</v>
      </c>
      <c r="AK32" s="25">
        <v>2985</v>
      </c>
      <c r="AL32" s="25">
        <v>3827</v>
      </c>
      <c r="AM32" s="25">
        <v>3096</v>
      </c>
      <c r="AN32" s="211">
        <v>2153</v>
      </c>
      <c r="AO32" s="25">
        <v>2285</v>
      </c>
      <c r="AP32" s="25">
        <v>4537</v>
      </c>
      <c r="AQ32" s="25">
        <v>4470</v>
      </c>
      <c r="AR32" s="211">
        <v>2405</v>
      </c>
      <c r="AS32" s="25">
        <v>2378</v>
      </c>
      <c r="AT32" s="25">
        <v>4279</v>
      </c>
    </row>
    <row r="33" spans="1:46" ht="10.5">
      <c r="A33" s="31" t="s">
        <v>82</v>
      </c>
      <c r="B33" s="25">
        <v>2214</v>
      </c>
      <c r="C33" s="35">
        <v>2446</v>
      </c>
      <c r="D33" s="223">
        <v>3966</v>
      </c>
      <c r="E33" s="223">
        <v>4711</v>
      </c>
      <c r="F33" s="223">
        <v>4050</v>
      </c>
      <c r="G33" s="223">
        <v>3605</v>
      </c>
      <c r="H33" s="223">
        <v>5512</v>
      </c>
      <c r="I33" s="223">
        <v>6375</v>
      </c>
      <c r="J33" s="223">
        <v>5902</v>
      </c>
      <c r="K33" s="223">
        <v>5756</v>
      </c>
      <c r="L33" s="227"/>
      <c r="M33" s="25">
        <v>3038</v>
      </c>
      <c r="N33" s="25">
        <v>3467</v>
      </c>
      <c r="O33" s="35">
        <v>3387</v>
      </c>
      <c r="P33" s="211">
        <v>3966</v>
      </c>
      <c r="Q33" s="25">
        <v>4871</v>
      </c>
      <c r="R33" s="25">
        <v>4749</v>
      </c>
      <c r="S33" s="25">
        <v>4421</v>
      </c>
      <c r="T33" s="211">
        <v>4711</v>
      </c>
      <c r="U33" s="25">
        <v>4575</v>
      </c>
      <c r="V33" s="25">
        <v>4536</v>
      </c>
      <c r="W33" s="25">
        <v>3701</v>
      </c>
      <c r="X33" s="211">
        <v>4050</v>
      </c>
      <c r="Y33" s="25">
        <v>4108</v>
      </c>
      <c r="Z33" s="25">
        <v>3764</v>
      </c>
      <c r="AA33" s="25">
        <v>3431</v>
      </c>
      <c r="AB33" s="211">
        <v>3605</v>
      </c>
      <c r="AC33" s="25">
        <v>4172</v>
      </c>
      <c r="AD33" s="25">
        <v>4796</v>
      </c>
      <c r="AE33" s="25">
        <v>4905</v>
      </c>
      <c r="AF33" s="211">
        <v>5512</v>
      </c>
      <c r="AG33" s="25">
        <v>6181</v>
      </c>
      <c r="AH33" s="25">
        <v>6239</v>
      </c>
      <c r="AI33" s="25">
        <v>6249</v>
      </c>
      <c r="AJ33" s="211">
        <v>6375</v>
      </c>
      <c r="AK33" s="25">
        <v>7017</v>
      </c>
      <c r="AL33" s="25">
        <v>7196</v>
      </c>
      <c r="AM33" s="25">
        <v>6210</v>
      </c>
      <c r="AN33" s="211">
        <v>5902</v>
      </c>
      <c r="AO33" s="25">
        <v>6213</v>
      </c>
      <c r="AP33" s="25">
        <v>6151</v>
      </c>
      <c r="AQ33" s="25">
        <v>5314</v>
      </c>
      <c r="AR33" s="211">
        <v>5756</v>
      </c>
      <c r="AS33" s="25">
        <v>5564</v>
      </c>
      <c r="AT33" s="25">
        <v>5900</v>
      </c>
    </row>
    <row r="34" spans="1:46" ht="10.5">
      <c r="A34" s="32" t="s">
        <v>459</v>
      </c>
      <c r="B34" s="25">
        <v>748</v>
      </c>
      <c r="C34" s="35">
        <v>535</v>
      </c>
      <c r="D34" s="223">
        <v>436</v>
      </c>
      <c r="E34" s="223">
        <v>605</v>
      </c>
      <c r="F34" s="223">
        <v>507</v>
      </c>
      <c r="G34" s="223">
        <v>391</v>
      </c>
      <c r="H34" s="223">
        <v>562</v>
      </c>
      <c r="I34" s="223">
        <v>670</v>
      </c>
      <c r="J34" s="223">
        <v>483</v>
      </c>
      <c r="K34" s="223">
        <v>444</v>
      </c>
      <c r="L34" s="227"/>
      <c r="M34" s="25">
        <v>799</v>
      </c>
      <c r="N34" s="25">
        <v>1044</v>
      </c>
      <c r="O34" s="35">
        <v>1140</v>
      </c>
      <c r="P34" s="211">
        <v>436</v>
      </c>
      <c r="Q34" s="25">
        <v>585</v>
      </c>
      <c r="R34" s="25">
        <v>761</v>
      </c>
      <c r="S34" s="25">
        <v>683</v>
      </c>
      <c r="T34" s="211">
        <v>605</v>
      </c>
      <c r="U34" s="25">
        <v>550</v>
      </c>
      <c r="V34" s="25">
        <v>493</v>
      </c>
      <c r="W34" s="25">
        <v>510</v>
      </c>
      <c r="X34" s="211">
        <v>507</v>
      </c>
      <c r="Y34" s="25">
        <v>465</v>
      </c>
      <c r="Z34" s="25">
        <v>521</v>
      </c>
      <c r="AA34" s="25">
        <v>420</v>
      </c>
      <c r="AB34" s="211">
        <v>391</v>
      </c>
      <c r="AC34" s="25">
        <v>447</v>
      </c>
      <c r="AD34" s="25">
        <v>434</v>
      </c>
      <c r="AE34" s="25">
        <v>525</v>
      </c>
      <c r="AF34" s="211">
        <v>562</v>
      </c>
      <c r="AG34" s="25">
        <v>645</v>
      </c>
      <c r="AH34" s="25">
        <v>678</v>
      </c>
      <c r="AI34" s="25">
        <v>963</v>
      </c>
      <c r="AJ34" s="211">
        <v>670</v>
      </c>
      <c r="AK34" s="25">
        <v>530</v>
      </c>
      <c r="AL34" s="25">
        <v>502</v>
      </c>
      <c r="AM34" s="25">
        <v>543</v>
      </c>
      <c r="AN34" s="211">
        <v>483</v>
      </c>
      <c r="AO34" s="25">
        <v>428</v>
      </c>
      <c r="AP34" s="25">
        <v>379</v>
      </c>
      <c r="AQ34" s="25">
        <v>378</v>
      </c>
      <c r="AR34" s="211">
        <v>444</v>
      </c>
      <c r="AS34" s="25">
        <v>829</v>
      </c>
      <c r="AT34" s="25">
        <v>384</v>
      </c>
    </row>
    <row r="35" spans="1:46" ht="10.5">
      <c r="A35" s="32" t="s">
        <v>83</v>
      </c>
      <c r="B35" s="25">
        <v>2916</v>
      </c>
      <c r="C35" s="35">
        <v>2867</v>
      </c>
      <c r="D35" s="223">
        <v>3570</v>
      </c>
      <c r="E35" s="223">
        <v>4500</v>
      </c>
      <c r="F35" s="223">
        <v>4219</v>
      </c>
      <c r="G35" s="223">
        <v>4207</v>
      </c>
      <c r="H35" s="223">
        <v>5736</v>
      </c>
      <c r="I35" s="223">
        <v>8335</v>
      </c>
      <c r="J35" s="223">
        <v>8465</v>
      </c>
      <c r="K35" s="223">
        <v>9647</v>
      </c>
      <c r="L35" s="227"/>
      <c r="M35" s="25">
        <v>3049</v>
      </c>
      <c r="N35" s="25">
        <v>3224</v>
      </c>
      <c r="O35" s="35">
        <v>3219</v>
      </c>
      <c r="P35" s="211">
        <v>3570</v>
      </c>
      <c r="Q35" s="25">
        <v>3831</v>
      </c>
      <c r="R35" s="25">
        <v>4366</v>
      </c>
      <c r="S35" s="25">
        <v>4464</v>
      </c>
      <c r="T35" s="211">
        <v>4500</v>
      </c>
      <c r="U35" s="25">
        <v>4375</v>
      </c>
      <c r="V35" s="25">
        <v>5667</v>
      </c>
      <c r="W35" s="25">
        <v>5814</v>
      </c>
      <c r="X35" s="211">
        <v>4219</v>
      </c>
      <c r="Y35" s="25">
        <v>4258</v>
      </c>
      <c r="Z35" s="25">
        <v>4400</v>
      </c>
      <c r="AA35" s="25">
        <v>4504</v>
      </c>
      <c r="AB35" s="211">
        <v>4207</v>
      </c>
      <c r="AC35" s="25">
        <v>4347</v>
      </c>
      <c r="AD35" s="25">
        <v>6181</v>
      </c>
      <c r="AE35" s="25">
        <v>6597</v>
      </c>
      <c r="AF35" s="211">
        <v>5736</v>
      </c>
      <c r="AG35" s="25">
        <v>5963</v>
      </c>
      <c r="AH35" s="25">
        <v>9006</v>
      </c>
      <c r="AI35" s="25">
        <v>10473</v>
      </c>
      <c r="AJ35" s="211">
        <v>8335</v>
      </c>
      <c r="AK35" s="25">
        <v>8450</v>
      </c>
      <c r="AL35" s="25">
        <v>11334</v>
      </c>
      <c r="AM35" s="25">
        <v>11155</v>
      </c>
      <c r="AN35" s="211">
        <v>8465</v>
      </c>
      <c r="AO35" s="25">
        <v>8835</v>
      </c>
      <c r="AP35" s="25">
        <v>11695</v>
      </c>
      <c r="AQ35" s="25">
        <v>11453</v>
      </c>
      <c r="AR35" s="211">
        <v>9647</v>
      </c>
      <c r="AS35" s="25">
        <v>8405</v>
      </c>
      <c r="AT35" s="25">
        <v>11135</v>
      </c>
    </row>
    <row r="36" spans="1:46" ht="10.5">
      <c r="A36" s="16" t="s">
        <v>30</v>
      </c>
      <c r="B36" s="17">
        <v>8921</v>
      </c>
      <c r="C36" s="36">
        <v>9522</v>
      </c>
      <c r="D36" s="224">
        <v>12780</v>
      </c>
      <c r="E36" s="224">
        <v>11518</v>
      </c>
      <c r="F36" s="224">
        <v>9481</v>
      </c>
      <c r="G36" s="224">
        <v>8867</v>
      </c>
      <c r="H36" s="224">
        <v>12438</v>
      </c>
      <c r="I36" s="224">
        <v>17379</v>
      </c>
      <c r="J36" s="224">
        <v>17003</v>
      </c>
      <c r="K36" s="224">
        <v>18252</v>
      </c>
      <c r="L36" s="227"/>
      <c r="M36" s="17">
        <v>7648</v>
      </c>
      <c r="N36" s="17">
        <v>8589</v>
      </c>
      <c r="O36" s="17">
        <v>8479</v>
      </c>
      <c r="P36" s="212">
        <v>12780</v>
      </c>
      <c r="Q36" s="17">
        <v>10079</v>
      </c>
      <c r="R36" s="17">
        <v>15807</v>
      </c>
      <c r="S36" s="17">
        <v>15354</v>
      </c>
      <c r="T36" s="212">
        <v>11518</v>
      </c>
      <c r="U36" s="17">
        <v>10327</v>
      </c>
      <c r="V36" s="17">
        <v>11499</v>
      </c>
      <c r="W36" s="17">
        <v>10775</v>
      </c>
      <c r="X36" s="212">
        <v>9481</v>
      </c>
      <c r="Y36" s="17">
        <v>9650</v>
      </c>
      <c r="Z36" s="17">
        <v>11541</v>
      </c>
      <c r="AA36" s="17">
        <v>10830</v>
      </c>
      <c r="AB36" s="212">
        <v>8867</v>
      </c>
      <c r="AC36" s="17">
        <v>9436</v>
      </c>
      <c r="AD36" s="17">
        <v>12941</v>
      </c>
      <c r="AE36" s="17">
        <v>13610</v>
      </c>
      <c r="AF36" s="212">
        <v>12438</v>
      </c>
      <c r="AG36" s="17">
        <v>13466</v>
      </c>
      <c r="AH36" s="17">
        <v>16648</v>
      </c>
      <c r="AI36" s="17">
        <v>18470</v>
      </c>
      <c r="AJ36" s="212">
        <v>17379</v>
      </c>
      <c r="AK36" s="17">
        <v>18982</v>
      </c>
      <c r="AL36" s="17">
        <v>22859</v>
      </c>
      <c r="AM36" s="17">
        <v>21004</v>
      </c>
      <c r="AN36" s="212">
        <v>17003</v>
      </c>
      <c r="AO36" s="17">
        <v>17761</v>
      </c>
      <c r="AP36" s="17">
        <v>22762</v>
      </c>
      <c r="AQ36" s="17">
        <v>21615</v>
      </c>
      <c r="AR36" s="212">
        <v>18252</v>
      </c>
      <c r="AS36" s="17">
        <v>17176</v>
      </c>
      <c r="AT36" s="17">
        <v>21698</v>
      </c>
    </row>
    <row r="37" spans="1:46" ht="10.5">
      <c r="A37" s="16" t="s">
        <v>61</v>
      </c>
      <c r="B37" s="17">
        <v>28418</v>
      </c>
      <c r="C37" s="36">
        <v>29984</v>
      </c>
      <c r="D37" s="224">
        <v>27547</v>
      </c>
      <c r="E37" s="224">
        <v>36155</v>
      </c>
      <c r="F37" s="224">
        <v>41037</v>
      </c>
      <c r="G37" s="224">
        <v>43886</v>
      </c>
      <c r="H37" s="224">
        <v>48583</v>
      </c>
      <c r="I37" s="224">
        <v>61780</v>
      </c>
      <c r="J37" s="224">
        <v>67784</v>
      </c>
      <c r="K37" s="224">
        <v>83589</v>
      </c>
      <c r="L37" s="227"/>
      <c r="M37" s="17">
        <v>29685</v>
      </c>
      <c r="N37" s="17">
        <v>30965</v>
      </c>
      <c r="O37" s="36">
        <v>27622</v>
      </c>
      <c r="P37" s="212">
        <v>27547</v>
      </c>
      <c r="Q37" s="17">
        <v>30465</v>
      </c>
      <c r="R37" s="17">
        <v>35024</v>
      </c>
      <c r="S37" s="17">
        <v>34487</v>
      </c>
      <c r="T37" s="212">
        <v>36155</v>
      </c>
      <c r="U37" s="17">
        <v>39662</v>
      </c>
      <c r="V37" s="17">
        <v>40148</v>
      </c>
      <c r="W37" s="17">
        <v>41525</v>
      </c>
      <c r="X37" s="212">
        <v>41037</v>
      </c>
      <c r="Y37" s="17">
        <v>43689</v>
      </c>
      <c r="Z37" s="17">
        <v>44324</v>
      </c>
      <c r="AA37" s="17">
        <v>44634</v>
      </c>
      <c r="AB37" s="212">
        <v>43886</v>
      </c>
      <c r="AC37" s="17">
        <v>46851</v>
      </c>
      <c r="AD37" s="17">
        <v>44517</v>
      </c>
      <c r="AE37" s="17">
        <v>47259</v>
      </c>
      <c r="AF37" s="212">
        <v>48583</v>
      </c>
      <c r="AG37" s="17">
        <v>52409</v>
      </c>
      <c r="AH37" s="17">
        <v>55543</v>
      </c>
      <c r="AI37" s="17">
        <v>61685</v>
      </c>
      <c r="AJ37" s="212">
        <v>61780</v>
      </c>
      <c r="AK37" s="17">
        <v>65302</v>
      </c>
      <c r="AL37" s="17">
        <v>70294</v>
      </c>
      <c r="AM37" s="17">
        <v>70640</v>
      </c>
      <c r="AN37" s="212">
        <v>67784</v>
      </c>
      <c r="AO37" s="17">
        <v>77934</v>
      </c>
      <c r="AP37" s="17">
        <v>81016</v>
      </c>
      <c r="AQ37" s="17">
        <v>81565</v>
      </c>
      <c r="AR37" s="212">
        <v>83589</v>
      </c>
      <c r="AS37" s="17">
        <v>80850</v>
      </c>
      <c r="AT37" s="17">
        <v>79352</v>
      </c>
    </row>
    <row r="38" spans="1:46" ht="10.5">
      <c r="A38" s="37"/>
      <c r="B38" s="38"/>
      <c r="C38" s="39"/>
      <c r="D38" s="220"/>
      <c r="E38" s="220"/>
      <c r="F38" s="227"/>
      <c r="G38" s="227"/>
      <c r="H38" s="227"/>
      <c r="I38" s="227"/>
      <c r="J38" s="227"/>
      <c r="K38" s="227"/>
      <c r="L38" s="227"/>
      <c r="M38" s="38"/>
      <c r="N38" s="38"/>
      <c r="O38" s="39"/>
      <c r="P38" s="38"/>
      <c r="Q38" s="38"/>
    </row>
    <row r="39" spans="1:46" ht="10.5">
      <c r="A39" s="1085"/>
      <c r="B39" s="1086"/>
      <c r="C39" s="1086"/>
      <c r="D39" s="1086"/>
      <c r="E39" s="1086"/>
      <c r="F39" s="1086"/>
      <c r="G39" s="1086"/>
      <c r="H39" s="1086"/>
      <c r="I39" s="1086"/>
      <c r="J39" s="1086"/>
      <c r="K39" s="1086"/>
      <c r="L39" s="1086"/>
      <c r="M39" s="1086"/>
      <c r="N39" s="38"/>
      <c r="O39" s="39"/>
      <c r="P39" s="38"/>
      <c r="Q39" s="38"/>
    </row>
    <row r="40" spans="1:46" ht="10.5">
      <c r="A40" s="37"/>
      <c r="B40" s="38"/>
      <c r="C40" s="39"/>
      <c r="D40" s="220"/>
      <c r="E40" s="220"/>
      <c r="F40" s="220"/>
      <c r="G40" s="220"/>
      <c r="H40" s="220"/>
      <c r="I40" s="220"/>
      <c r="J40" s="220"/>
      <c r="K40" s="220"/>
      <c r="L40" s="220"/>
      <c r="M40" s="38"/>
      <c r="N40" s="38"/>
      <c r="O40" s="39"/>
      <c r="P40" s="38"/>
      <c r="Q40" s="38"/>
    </row>
    <row r="41" spans="1:46">
      <c r="A41" s="33"/>
      <c r="B41" s="29"/>
      <c r="C41" s="29"/>
      <c r="D41" s="221"/>
      <c r="E41" s="221"/>
      <c r="F41" s="221"/>
      <c r="G41" s="221"/>
      <c r="H41" s="221"/>
      <c r="I41" s="221"/>
      <c r="J41" s="221"/>
      <c r="K41" s="221"/>
      <c r="L41" s="221"/>
      <c r="M41" s="29"/>
      <c r="N41" s="29"/>
      <c r="O41" s="29"/>
      <c r="P41" s="29"/>
      <c r="Q41" s="29"/>
    </row>
    <row r="42" spans="1:46">
      <c r="A42" s="33"/>
      <c r="B42" s="29"/>
      <c r="C42" s="29"/>
      <c r="D42" s="221"/>
      <c r="E42" s="221"/>
      <c r="F42" s="221"/>
      <c r="G42" s="221"/>
      <c r="H42" s="221"/>
      <c r="I42" s="221"/>
      <c r="J42" s="221"/>
      <c r="K42" s="221"/>
      <c r="L42" s="221"/>
      <c r="M42" s="29"/>
      <c r="N42" s="29"/>
      <c r="O42" s="29"/>
      <c r="P42" s="29"/>
      <c r="Q42" s="29"/>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row>
    <row r="43" spans="1:46" ht="10.5">
      <c r="A43" s="37"/>
      <c r="B43" s="29"/>
      <c r="C43" s="29"/>
      <c r="D43" s="221"/>
      <c r="E43" s="221"/>
      <c r="F43" s="221"/>
      <c r="G43" s="221"/>
      <c r="H43" s="221"/>
      <c r="I43" s="221"/>
      <c r="J43" s="221"/>
      <c r="K43" s="221"/>
      <c r="L43" s="221"/>
      <c r="M43" s="29"/>
      <c r="N43" s="29"/>
      <c r="O43" s="29"/>
      <c r="P43" s="29"/>
      <c r="Q43" s="29"/>
    </row>
    <row r="44" spans="1:46">
      <c r="A44" s="31"/>
      <c r="B44" s="29"/>
      <c r="C44" s="29"/>
      <c r="D44" s="221"/>
      <c r="E44" s="221"/>
      <c r="F44" s="221"/>
      <c r="G44" s="221"/>
      <c r="H44" s="221"/>
      <c r="I44" s="221"/>
      <c r="J44" s="221"/>
      <c r="K44" s="221"/>
      <c r="L44" s="221"/>
      <c r="M44" s="29"/>
      <c r="N44" s="29"/>
      <c r="O44" s="29"/>
      <c r="P44" s="29"/>
      <c r="Q44" s="29"/>
    </row>
    <row r="45" spans="1:46">
      <c r="A45" s="32"/>
      <c r="B45" s="29"/>
      <c r="C45" s="29"/>
      <c r="D45" s="221"/>
      <c r="E45" s="221"/>
      <c r="F45" s="221"/>
      <c r="G45" s="221"/>
      <c r="H45" s="221"/>
      <c r="I45" s="221"/>
      <c r="J45" s="221"/>
      <c r="K45" s="221"/>
      <c r="L45" s="221"/>
      <c r="M45" s="29"/>
      <c r="N45" s="29"/>
      <c r="O45" s="29"/>
      <c r="P45" s="29"/>
      <c r="Q45" s="29"/>
    </row>
    <row r="46" spans="1:46" ht="10.5">
      <c r="A46" s="37"/>
      <c r="B46" s="30"/>
      <c r="C46" s="30"/>
      <c r="D46" s="222"/>
      <c r="E46" s="222"/>
      <c r="F46" s="222"/>
      <c r="G46" s="222"/>
      <c r="H46" s="222"/>
      <c r="I46" s="222"/>
      <c r="J46" s="222"/>
      <c r="K46" s="222"/>
      <c r="L46" s="222"/>
      <c r="M46" s="30"/>
      <c r="N46" s="30"/>
      <c r="O46" s="30"/>
      <c r="P46" s="30"/>
      <c r="Q46" s="30"/>
    </row>
    <row r="47" spans="1:46">
      <c r="A47" s="31"/>
      <c r="B47" s="29"/>
      <c r="C47" s="29"/>
      <c r="D47" s="221"/>
      <c r="E47" s="221"/>
      <c r="F47" s="221"/>
      <c r="G47" s="221"/>
      <c r="H47" s="221"/>
      <c r="I47" s="221"/>
      <c r="J47" s="221"/>
      <c r="K47" s="221"/>
      <c r="L47" s="221"/>
      <c r="M47" s="29"/>
      <c r="N47" s="29"/>
      <c r="O47" s="29"/>
      <c r="P47" s="29"/>
      <c r="Q47" s="29"/>
    </row>
    <row r="48" spans="1:46">
      <c r="A48" s="31"/>
      <c r="B48" s="29"/>
      <c r="C48" s="29"/>
      <c r="D48" s="221"/>
      <c r="E48" s="221"/>
      <c r="F48" s="221"/>
      <c r="G48" s="221"/>
      <c r="H48" s="221"/>
      <c r="I48" s="221"/>
      <c r="J48" s="221"/>
      <c r="K48" s="221"/>
      <c r="L48" s="221"/>
      <c r="M48" s="29"/>
      <c r="N48" s="29"/>
      <c r="O48" s="29"/>
      <c r="P48" s="29"/>
      <c r="Q48" s="29"/>
    </row>
    <row r="49" spans="1:17" ht="10.5">
      <c r="A49" s="37"/>
      <c r="B49" s="29"/>
      <c r="C49" s="29"/>
      <c r="D49" s="221"/>
      <c r="E49" s="221"/>
      <c r="F49" s="221"/>
      <c r="G49" s="221"/>
      <c r="H49" s="221"/>
      <c r="I49" s="221"/>
      <c r="J49" s="221"/>
      <c r="K49" s="221"/>
      <c r="L49" s="221"/>
      <c r="M49" s="29"/>
      <c r="N49" s="29"/>
      <c r="O49" s="29"/>
      <c r="P49" s="29"/>
      <c r="Q49" s="29"/>
    </row>
    <row r="50" spans="1:17" ht="10.5">
      <c r="A50" s="37"/>
      <c r="B50" s="29"/>
      <c r="C50" s="29"/>
      <c r="D50" s="221"/>
      <c r="E50" s="221"/>
      <c r="F50" s="221"/>
      <c r="G50" s="221"/>
      <c r="H50" s="221"/>
      <c r="I50" s="221"/>
      <c r="J50" s="221"/>
      <c r="K50" s="221"/>
      <c r="L50" s="221"/>
      <c r="M50" s="29"/>
      <c r="N50" s="29"/>
      <c r="O50" s="29"/>
      <c r="P50" s="29"/>
      <c r="Q50" s="29"/>
    </row>
    <row r="51" spans="1:17" ht="10.5">
      <c r="A51" s="37"/>
      <c r="B51" s="29"/>
      <c r="C51" s="29"/>
      <c r="D51" s="221"/>
      <c r="E51" s="221"/>
      <c r="F51" s="221"/>
      <c r="G51" s="221"/>
      <c r="H51" s="221"/>
      <c r="I51" s="221"/>
      <c r="J51" s="221"/>
      <c r="K51" s="221"/>
      <c r="L51" s="221"/>
      <c r="M51" s="29"/>
      <c r="N51" s="29"/>
      <c r="O51" s="29"/>
      <c r="P51" s="29"/>
      <c r="Q51" s="29"/>
    </row>
    <row r="52" spans="1:17" ht="10.5">
      <c r="A52" s="37"/>
      <c r="B52" s="29"/>
      <c r="C52" s="29"/>
      <c r="D52" s="221"/>
      <c r="E52" s="221"/>
      <c r="F52" s="221"/>
      <c r="G52" s="221"/>
      <c r="H52" s="221"/>
      <c r="I52" s="221"/>
      <c r="J52" s="221"/>
      <c r="K52" s="221"/>
      <c r="L52" s="221"/>
      <c r="M52" s="29"/>
      <c r="N52" s="29"/>
      <c r="O52" s="29"/>
      <c r="P52" s="29"/>
      <c r="Q52" s="29"/>
    </row>
    <row r="53" spans="1:17" ht="10.5">
      <c r="A53" s="37"/>
      <c r="B53" s="29"/>
      <c r="C53" s="29"/>
      <c r="D53" s="221"/>
      <c r="E53" s="221"/>
      <c r="F53" s="221"/>
      <c r="G53" s="221"/>
      <c r="H53" s="221"/>
      <c r="I53" s="221"/>
      <c r="J53" s="221"/>
      <c r="K53" s="221"/>
      <c r="L53" s="221"/>
      <c r="M53" s="29"/>
      <c r="N53" s="29"/>
      <c r="O53" s="29"/>
      <c r="P53" s="29"/>
      <c r="Q53" s="29"/>
    </row>
    <row r="54" spans="1:17" s="57" customFormat="1">
      <c r="A54" s="31"/>
      <c r="B54" s="29"/>
      <c r="C54" s="29"/>
      <c r="D54" s="221"/>
      <c r="E54" s="221"/>
      <c r="F54" s="221"/>
      <c r="G54" s="221"/>
      <c r="H54" s="221"/>
      <c r="I54" s="221"/>
      <c r="J54" s="221"/>
      <c r="K54" s="221"/>
      <c r="L54" s="221"/>
      <c r="M54" s="29"/>
      <c r="N54" s="29"/>
      <c r="O54" s="29"/>
      <c r="P54" s="29"/>
      <c r="Q54" s="29"/>
    </row>
    <row r="55" spans="1:17">
      <c r="A55" s="31"/>
      <c r="B55" s="25"/>
      <c r="C55" s="25"/>
      <c r="D55" s="219"/>
      <c r="E55" s="219"/>
      <c r="F55" s="219"/>
      <c r="G55" s="219"/>
      <c r="H55" s="219"/>
      <c r="I55" s="219"/>
      <c r="J55" s="219"/>
      <c r="K55" s="219"/>
      <c r="L55" s="219"/>
      <c r="M55" s="25"/>
      <c r="N55" s="25"/>
      <c r="O55" s="25"/>
      <c r="P55" s="25"/>
      <c r="Q55" s="25"/>
    </row>
    <row r="56" spans="1:17">
      <c r="A56" s="31"/>
      <c r="B56" s="29"/>
      <c r="C56" s="29"/>
      <c r="D56" s="221"/>
      <c r="E56" s="221"/>
      <c r="F56" s="221"/>
      <c r="G56" s="221"/>
      <c r="H56" s="221"/>
      <c r="I56" s="221"/>
      <c r="J56" s="221"/>
      <c r="K56" s="221"/>
      <c r="L56" s="221"/>
      <c r="M56" s="29"/>
      <c r="N56" s="29"/>
      <c r="O56" s="29"/>
      <c r="P56" s="29"/>
      <c r="Q56" s="29"/>
    </row>
    <row r="57" spans="1:17" ht="10.5">
      <c r="A57" s="37"/>
      <c r="B57" s="30"/>
      <c r="C57" s="30"/>
      <c r="D57" s="222"/>
      <c r="E57" s="222"/>
      <c r="F57" s="222"/>
      <c r="G57" s="222"/>
      <c r="H57" s="222"/>
      <c r="I57" s="222"/>
      <c r="J57" s="222"/>
      <c r="K57" s="222"/>
      <c r="L57" s="222"/>
      <c r="M57" s="30"/>
      <c r="N57" s="30"/>
      <c r="O57" s="30"/>
      <c r="P57" s="30"/>
      <c r="Q57" s="30"/>
    </row>
    <row r="58" spans="1:17">
      <c r="A58" s="33"/>
      <c r="B58" s="29"/>
      <c r="C58" s="29"/>
      <c r="D58" s="221"/>
      <c r="E58" s="221"/>
      <c r="F58" s="221"/>
      <c r="G58" s="221"/>
      <c r="H58" s="221"/>
      <c r="I58" s="221"/>
      <c r="J58" s="221"/>
      <c r="K58" s="221"/>
      <c r="L58" s="221"/>
      <c r="M58" s="29"/>
      <c r="N58" s="29"/>
      <c r="O58" s="29"/>
    </row>
  </sheetData>
  <mergeCells count="1">
    <mergeCell ref="A39:M39"/>
  </mergeCells>
  <hyperlinks>
    <hyperlink ref="A2" location="'START PAGE'!A1" display="Back to start page" xr:uid="{00000000-0004-0000-0600-000000000000}"/>
  </hyperlinks>
  <pageMargins left="0.7" right="0.7" top="0.75" bottom="0.75" header="0.3" footer="0.3"/>
  <pageSetup paperSize="9" scale="44"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D00"/>
    <pageSetUpPr fitToPage="1"/>
  </sheetPr>
  <dimension ref="A1:AU62"/>
  <sheetViews>
    <sheetView showGridLines="0" zoomScale="90" zoomScaleNormal="90" workbookViewId="0">
      <pane xSplit="1" ySplit="3" topLeftCell="B4" activePane="bottomRight" state="frozen"/>
      <selection activeCell="C75" sqref="C75"/>
      <selection pane="topRight" activeCell="C75" sqref="C75"/>
      <selection pane="bottomLeft" activeCell="C75" sqref="C75"/>
      <selection pane="bottomRight" activeCell="J63" sqref="J63"/>
    </sheetView>
  </sheetViews>
  <sheetFormatPr defaultColWidth="9" defaultRowHeight="10"/>
  <cols>
    <col min="1" max="1" width="37.58203125" style="24" customWidth="1"/>
    <col min="2" max="11" width="7.58203125" style="1" bestFit="1" customWidth="1"/>
    <col min="12" max="12" width="6" style="1" customWidth="1"/>
    <col min="13" max="13" width="8.5" style="1" customWidth="1"/>
    <col min="14" max="15" width="6.08203125" style="1" customWidth="1"/>
    <col min="16" max="16" width="5.58203125" style="1" customWidth="1"/>
    <col min="17" max="18" width="5.5" style="1" customWidth="1"/>
    <col min="19" max="19" width="5.58203125" style="1" customWidth="1"/>
    <col min="20" max="20" width="5.5" style="1" customWidth="1"/>
    <col min="21" max="21" width="5.08203125" style="1" customWidth="1"/>
    <col min="22" max="22" width="6.08203125" style="1" customWidth="1"/>
    <col min="23" max="23" width="5.08203125" style="1" customWidth="1"/>
    <col min="24" max="28" width="6.08203125" style="1" customWidth="1"/>
    <col min="29" max="29" width="5.58203125" style="1" customWidth="1"/>
    <col min="30" max="30" width="6.08203125" style="1" customWidth="1"/>
    <col min="31" max="31" width="6" style="1" customWidth="1"/>
    <col min="32" max="32" width="6.08203125" style="1" customWidth="1"/>
    <col min="33" max="33" width="5.58203125" style="1" customWidth="1"/>
    <col min="34" max="36" width="6.08203125" style="1" customWidth="1"/>
    <col min="37" max="37" width="5.58203125" style="1" customWidth="1"/>
    <col min="38" max="40" width="6.08203125" style="1" bestFit="1" customWidth="1"/>
    <col min="41" max="41" width="5.58203125" style="1" customWidth="1"/>
    <col min="42" max="44" width="6.08203125" style="1" bestFit="1" customWidth="1"/>
    <col min="45" max="45" width="5.58203125" style="1" customWidth="1"/>
    <col min="46" max="46" width="6.08203125" style="1" bestFit="1" customWidth="1"/>
    <col min="47" max="16384" width="9" style="1"/>
  </cols>
  <sheetData>
    <row r="1" spans="1:46" ht="16" thickBot="1">
      <c r="A1" s="100" t="s">
        <v>57</v>
      </c>
      <c r="B1" s="101" t="s">
        <v>222</v>
      </c>
      <c r="C1" s="102"/>
      <c r="D1" s="102"/>
      <c r="E1" s="102"/>
      <c r="F1" s="102"/>
      <c r="G1" s="102"/>
      <c r="H1" s="102"/>
      <c r="I1" s="102"/>
      <c r="J1" s="102"/>
      <c r="K1" s="102"/>
      <c r="M1" s="101" t="s">
        <v>221</v>
      </c>
      <c r="N1" s="102"/>
      <c r="O1" s="102"/>
      <c r="P1" s="103"/>
      <c r="Q1" s="102"/>
      <c r="R1" s="102"/>
      <c r="S1" s="102"/>
      <c r="T1" s="103"/>
      <c r="U1" s="101"/>
      <c r="V1" s="102"/>
      <c r="W1" s="102"/>
      <c r="X1" s="103"/>
      <c r="Y1" s="102"/>
      <c r="Z1" s="102"/>
      <c r="AA1" s="102"/>
      <c r="AB1" s="103"/>
      <c r="AC1" s="102"/>
      <c r="AD1" s="102"/>
      <c r="AE1" s="102"/>
      <c r="AF1" s="103"/>
      <c r="AG1" s="102"/>
      <c r="AH1" s="102"/>
      <c r="AI1" s="102"/>
      <c r="AJ1" s="103"/>
      <c r="AK1" s="102"/>
      <c r="AL1" s="102"/>
      <c r="AM1" s="102"/>
      <c r="AN1" s="103"/>
      <c r="AO1" s="102"/>
      <c r="AP1" s="102"/>
      <c r="AQ1" s="102"/>
      <c r="AR1" s="103"/>
      <c r="AS1" s="102"/>
      <c r="AT1" s="102"/>
    </row>
    <row r="2" spans="1:46" ht="11.5" thickTop="1" thickBot="1">
      <c r="A2" s="823" t="s">
        <v>198</v>
      </c>
      <c r="B2" s="154"/>
      <c r="C2" s="154"/>
      <c r="D2" s="154"/>
      <c r="E2" s="154"/>
      <c r="F2" s="154"/>
      <c r="G2" s="154"/>
      <c r="H2" s="154"/>
      <c r="I2" s="154"/>
      <c r="J2" s="154"/>
      <c r="K2" s="154"/>
      <c r="M2" s="154"/>
      <c r="N2" s="154"/>
      <c r="O2" s="154"/>
      <c r="P2" s="155"/>
      <c r="Q2" s="154"/>
      <c r="R2" s="154"/>
      <c r="S2" s="154"/>
      <c r="T2" s="155"/>
      <c r="U2" s="154"/>
      <c r="V2" s="154"/>
      <c r="W2" s="154"/>
      <c r="X2" s="155"/>
      <c r="Y2" s="154"/>
      <c r="Z2" s="154"/>
      <c r="AA2" s="154"/>
      <c r="AB2" s="155"/>
      <c r="AC2" s="154"/>
      <c r="AD2" s="154"/>
      <c r="AE2" s="154"/>
      <c r="AF2" s="155"/>
      <c r="AG2" s="154"/>
      <c r="AH2" s="154"/>
      <c r="AI2" s="154"/>
      <c r="AJ2" s="155"/>
      <c r="AK2" s="154"/>
      <c r="AL2" s="154"/>
      <c r="AM2" s="154"/>
      <c r="AN2" s="155"/>
      <c r="AO2" s="154"/>
      <c r="AP2" s="154"/>
      <c r="AQ2" s="154"/>
      <c r="AR2" s="155"/>
      <c r="AS2" s="154"/>
      <c r="AT2" s="154"/>
    </row>
    <row r="3" spans="1:46" ht="11" thickTop="1">
      <c r="A3" s="594" t="s">
        <v>209</v>
      </c>
      <c r="B3" s="595">
        <v>2015</v>
      </c>
      <c r="C3" s="595">
        <v>2016</v>
      </c>
      <c r="D3" s="596">
        <v>2017</v>
      </c>
      <c r="E3" s="596">
        <v>2018</v>
      </c>
      <c r="F3" s="596">
        <v>2019</v>
      </c>
      <c r="G3" s="596">
        <v>2020</v>
      </c>
      <c r="H3" s="596">
        <v>2021</v>
      </c>
      <c r="I3" s="596">
        <v>2022</v>
      </c>
      <c r="J3" s="596">
        <v>2023</v>
      </c>
      <c r="K3" s="596">
        <v>2024</v>
      </c>
      <c r="M3" s="597" t="s">
        <v>769</v>
      </c>
      <c r="N3" s="597" t="s">
        <v>770</v>
      </c>
      <c r="O3" s="597" t="s">
        <v>771</v>
      </c>
      <c r="P3" s="598" t="s">
        <v>772</v>
      </c>
      <c r="Q3" s="597" t="s">
        <v>764</v>
      </c>
      <c r="R3" s="597" t="s">
        <v>765</v>
      </c>
      <c r="S3" s="597" t="s">
        <v>766</v>
      </c>
      <c r="T3" s="598" t="s">
        <v>767</v>
      </c>
      <c r="U3" s="597" t="s">
        <v>768</v>
      </c>
      <c r="V3" s="597" t="s">
        <v>730</v>
      </c>
      <c r="W3" s="597" t="s">
        <v>731</v>
      </c>
      <c r="X3" s="598" t="s">
        <v>732</v>
      </c>
      <c r="Y3" s="597" t="s">
        <v>733</v>
      </c>
      <c r="Z3" s="597" t="s">
        <v>626</v>
      </c>
      <c r="AA3" s="597" t="s">
        <v>620</v>
      </c>
      <c r="AB3" s="598" t="s">
        <v>619</v>
      </c>
      <c r="AC3" s="597" t="s">
        <v>614</v>
      </c>
      <c r="AD3" s="597" t="s">
        <v>604</v>
      </c>
      <c r="AE3" s="597" t="s">
        <v>589</v>
      </c>
      <c r="AF3" s="598" t="s">
        <v>587</v>
      </c>
      <c r="AG3" s="597" t="s">
        <v>504</v>
      </c>
      <c r="AH3" s="597" t="s">
        <v>551</v>
      </c>
      <c r="AI3" s="597" t="s">
        <v>532</v>
      </c>
      <c r="AJ3" s="598" t="s">
        <v>530</v>
      </c>
      <c r="AK3" s="597" t="s">
        <v>803</v>
      </c>
      <c r="AL3" s="597" t="s">
        <v>812</v>
      </c>
      <c r="AM3" s="597" t="s">
        <v>816</v>
      </c>
      <c r="AN3" s="598" t="s">
        <v>835</v>
      </c>
      <c r="AO3" s="597" t="s">
        <v>872</v>
      </c>
      <c r="AP3" s="597" t="s">
        <v>986</v>
      </c>
      <c r="AQ3" s="597" t="s">
        <v>1016</v>
      </c>
      <c r="AR3" s="598" t="s">
        <v>1039</v>
      </c>
      <c r="AS3" s="597" t="s">
        <v>1076</v>
      </c>
      <c r="AT3" s="597" t="s">
        <v>1285</v>
      </c>
    </row>
    <row r="4" spans="1:46" ht="10.5">
      <c r="A4" s="156" t="s">
        <v>80</v>
      </c>
      <c r="B4" s="157"/>
      <c r="C4" s="157"/>
      <c r="M4" s="157"/>
      <c r="N4" s="158"/>
      <c r="O4" s="158"/>
      <c r="P4" s="159"/>
      <c r="T4" s="95"/>
      <c r="X4" s="95"/>
      <c r="AB4" s="95"/>
      <c r="AF4" s="95"/>
      <c r="AJ4" s="95"/>
      <c r="AN4" s="95"/>
      <c r="AR4" s="95"/>
    </row>
    <row r="5" spans="1:46">
      <c r="A5" s="160" t="s">
        <v>6</v>
      </c>
      <c r="B5" s="161">
        <v>5175</v>
      </c>
      <c r="C5" s="161">
        <v>4548</v>
      </c>
      <c r="D5" s="97">
        <v>5930</v>
      </c>
      <c r="E5" s="97">
        <v>7385</v>
      </c>
      <c r="F5" s="97">
        <v>8136</v>
      </c>
      <c r="G5" s="97">
        <v>7382</v>
      </c>
      <c r="H5" s="97">
        <v>8995</v>
      </c>
      <c r="I5" s="97">
        <v>11147</v>
      </c>
      <c r="J5" s="97">
        <v>13183</v>
      </c>
      <c r="K5" s="97">
        <v>12385</v>
      </c>
      <c r="M5" s="161">
        <v>1414</v>
      </c>
      <c r="N5" s="235">
        <v>1468</v>
      </c>
      <c r="O5" s="235">
        <v>1520</v>
      </c>
      <c r="P5" s="93">
        <v>1528</v>
      </c>
      <c r="Q5" s="97">
        <v>1515</v>
      </c>
      <c r="R5" s="97">
        <v>1810</v>
      </c>
      <c r="S5" s="97">
        <v>1898</v>
      </c>
      <c r="T5" s="93">
        <v>2162</v>
      </c>
      <c r="U5" s="97">
        <v>1930</v>
      </c>
      <c r="V5" s="97">
        <v>2263</v>
      </c>
      <c r="W5" s="97">
        <v>1927</v>
      </c>
      <c r="X5" s="93">
        <v>2016</v>
      </c>
      <c r="Y5" s="97">
        <v>1932</v>
      </c>
      <c r="Z5" s="97">
        <v>1418</v>
      </c>
      <c r="AA5" s="97">
        <v>1820</v>
      </c>
      <c r="AB5" s="93">
        <v>2212</v>
      </c>
      <c r="AC5" s="97">
        <v>1867</v>
      </c>
      <c r="AD5" s="97">
        <v>2182</v>
      </c>
      <c r="AE5" s="97">
        <v>2352</v>
      </c>
      <c r="AF5" s="93">
        <v>2594</v>
      </c>
      <c r="AG5" s="97">
        <v>2631</v>
      </c>
      <c r="AH5" s="97">
        <v>2381</v>
      </c>
      <c r="AI5" s="97">
        <v>2900</v>
      </c>
      <c r="AJ5" s="93">
        <v>3235</v>
      </c>
      <c r="AK5" s="97">
        <v>3161</v>
      </c>
      <c r="AL5" s="97">
        <v>3413</v>
      </c>
      <c r="AM5" s="97">
        <v>3260</v>
      </c>
      <c r="AN5" s="93">
        <v>3349</v>
      </c>
      <c r="AO5" s="97">
        <v>2760</v>
      </c>
      <c r="AP5" s="97">
        <v>2921</v>
      </c>
      <c r="AQ5" s="97">
        <v>3277</v>
      </c>
      <c r="AR5" s="93">
        <v>3427</v>
      </c>
      <c r="AS5" s="97">
        <v>3088</v>
      </c>
      <c r="AT5" s="97">
        <v>2831</v>
      </c>
    </row>
    <row r="6" spans="1:46">
      <c r="A6" s="616" t="s">
        <v>833</v>
      </c>
      <c r="B6" s="161">
        <v>1397</v>
      </c>
      <c r="C6" s="161">
        <v>1217</v>
      </c>
      <c r="D6" s="97">
        <v>1254</v>
      </c>
      <c r="E6" s="97">
        <v>1369</v>
      </c>
      <c r="F6" s="97">
        <v>1978</v>
      </c>
      <c r="G6" s="97">
        <v>1746</v>
      </c>
      <c r="H6" s="97">
        <v>1746</v>
      </c>
      <c r="I6" s="97">
        <v>2130</v>
      </c>
      <c r="J6" s="97">
        <v>2663</v>
      </c>
      <c r="K6" s="97">
        <v>3444</v>
      </c>
      <c r="M6" s="161">
        <v>320</v>
      </c>
      <c r="N6" s="235">
        <v>308</v>
      </c>
      <c r="O6" s="235">
        <v>285</v>
      </c>
      <c r="P6" s="93">
        <v>341</v>
      </c>
      <c r="Q6" s="97">
        <v>317</v>
      </c>
      <c r="R6" s="97">
        <v>340</v>
      </c>
      <c r="S6" s="97">
        <v>362</v>
      </c>
      <c r="T6" s="93">
        <v>350</v>
      </c>
      <c r="U6" s="97">
        <v>472</v>
      </c>
      <c r="V6" s="97">
        <v>468</v>
      </c>
      <c r="W6" s="97">
        <v>556</v>
      </c>
      <c r="X6" s="93">
        <v>482</v>
      </c>
      <c r="Y6" s="97">
        <v>440</v>
      </c>
      <c r="Z6" s="97">
        <v>441</v>
      </c>
      <c r="AA6" s="97">
        <v>426</v>
      </c>
      <c r="AB6" s="93">
        <v>439</v>
      </c>
      <c r="AC6" s="97">
        <v>382</v>
      </c>
      <c r="AD6" s="97">
        <v>411</v>
      </c>
      <c r="AE6" s="97">
        <v>462</v>
      </c>
      <c r="AF6" s="93">
        <v>491</v>
      </c>
      <c r="AG6" s="97">
        <v>466</v>
      </c>
      <c r="AH6" s="97">
        <v>487</v>
      </c>
      <c r="AI6" s="97">
        <v>526</v>
      </c>
      <c r="AJ6" s="93">
        <v>651</v>
      </c>
      <c r="AK6" s="97">
        <v>635</v>
      </c>
      <c r="AL6" s="97">
        <v>644</v>
      </c>
      <c r="AM6" s="97">
        <v>701</v>
      </c>
      <c r="AN6" s="93">
        <v>683</v>
      </c>
      <c r="AO6" s="97">
        <v>673</v>
      </c>
      <c r="AP6" s="97">
        <v>788</v>
      </c>
      <c r="AQ6" s="97">
        <v>1168</v>
      </c>
      <c r="AR6" s="93">
        <v>815</v>
      </c>
      <c r="AS6" s="97">
        <v>779</v>
      </c>
      <c r="AT6" s="97">
        <v>768</v>
      </c>
    </row>
    <row r="7" spans="1:46">
      <c r="A7" s="160" t="s">
        <v>38</v>
      </c>
      <c r="B7" s="161">
        <v>-251</v>
      </c>
      <c r="C7" s="161">
        <v>-349</v>
      </c>
      <c r="D7" s="97">
        <v>-134</v>
      </c>
      <c r="E7" s="97">
        <v>101</v>
      </c>
      <c r="F7" s="97">
        <v>-252</v>
      </c>
      <c r="G7" s="97">
        <v>252</v>
      </c>
      <c r="H7" s="97">
        <v>-192</v>
      </c>
      <c r="I7" s="97">
        <v>-183</v>
      </c>
      <c r="J7" s="97">
        <v>-220</v>
      </c>
      <c r="K7" s="97">
        <v>-958</v>
      </c>
      <c r="M7" s="161">
        <v>-173</v>
      </c>
      <c r="N7" s="235">
        <v>148</v>
      </c>
      <c r="O7" s="235">
        <v>3</v>
      </c>
      <c r="P7" s="93">
        <v>-112</v>
      </c>
      <c r="Q7" s="97">
        <v>-71</v>
      </c>
      <c r="R7" s="97">
        <v>54</v>
      </c>
      <c r="S7" s="97">
        <v>199</v>
      </c>
      <c r="T7" s="93">
        <v>-81</v>
      </c>
      <c r="U7" s="97">
        <v>-84</v>
      </c>
      <c r="V7" s="97">
        <v>-36</v>
      </c>
      <c r="W7" s="97">
        <v>-104</v>
      </c>
      <c r="X7" s="93">
        <v>-28</v>
      </c>
      <c r="Y7" s="97">
        <v>110</v>
      </c>
      <c r="Z7" s="97">
        <v>49</v>
      </c>
      <c r="AA7" s="97">
        <v>80</v>
      </c>
      <c r="AB7" s="93">
        <v>13</v>
      </c>
      <c r="AC7" s="97">
        <v>6</v>
      </c>
      <c r="AD7" s="97">
        <v>1</v>
      </c>
      <c r="AE7" s="97">
        <v>-51</v>
      </c>
      <c r="AF7" s="93">
        <v>-148</v>
      </c>
      <c r="AG7" s="97">
        <v>-196</v>
      </c>
      <c r="AH7" s="97">
        <v>-129</v>
      </c>
      <c r="AI7" s="97">
        <v>18</v>
      </c>
      <c r="AJ7" s="93">
        <v>124</v>
      </c>
      <c r="AK7" s="97">
        <v>-226</v>
      </c>
      <c r="AL7" s="97">
        <v>-254</v>
      </c>
      <c r="AM7" s="97">
        <v>279</v>
      </c>
      <c r="AN7" s="93">
        <v>-19</v>
      </c>
      <c r="AO7" s="97">
        <v>-222</v>
      </c>
      <c r="AP7" s="97">
        <v>28</v>
      </c>
      <c r="AQ7" s="97">
        <v>-480</v>
      </c>
      <c r="AR7" s="93">
        <v>-284</v>
      </c>
      <c r="AS7" s="97">
        <v>167</v>
      </c>
      <c r="AT7" s="97">
        <v>-35</v>
      </c>
    </row>
    <row r="8" spans="1:46">
      <c r="A8" s="160" t="s">
        <v>39</v>
      </c>
      <c r="B8" s="161">
        <v>23</v>
      </c>
      <c r="C8" s="161">
        <v>-40</v>
      </c>
      <c r="D8" s="97">
        <v>-344</v>
      </c>
      <c r="E8" s="97">
        <v>-483</v>
      </c>
      <c r="F8" s="97">
        <v>-410</v>
      </c>
      <c r="G8" s="97">
        <v>-94</v>
      </c>
      <c r="H8" s="97">
        <v>139</v>
      </c>
      <c r="I8" s="97">
        <v>-561</v>
      </c>
      <c r="J8" s="97">
        <v>-599.11275000000001</v>
      </c>
      <c r="K8" s="97">
        <v>-446.94405</v>
      </c>
      <c r="M8" s="161">
        <v>-57</v>
      </c>
      <c r="N8" s="235">
        <v>-35</v>
      </c>
      <c r="O8" s="235">
        <v>27</v>
      </c>
      <c r="P8" s="93">
        <v>-279</v>
      </c>
      <c r="Q8" s="97">
        <v>141</v>
      </c>
      <c r="R8" s="97">
        <v>-512</v>
      </c>
      <c r="S8" s="97">
        <v>-88</v>
      </c>
      <c r="T8" s="93">
        <v>-24</v>
      </c>
      <c r="U8" s="97">
        <v>-157</v>
      </c>
      <c r="V8" s="97">
        <v>-115</v>
      </c>
      <c r="W8" s="97">
        <v>-113</v>
      </c>
      <c r="X8" s="93">
        <v>-25</v>
      </c>
      <c r="Y8" s="97">
        <v>263</v>
      </c>
      <c r="Z8" s="97">
        <v>-32</v>
      </c>
      <c r="AA8" s="97">
        <v>114</v>
      </c>
      <c r="AB8" s="93">
        <v>-439</v>
      </c>
      <c r="AC8" s="97">
        <v>235</v>
      </c>
      <c r="AD8" s="97">
        <v>-172</v>
      </c>
      <c r="AE8" s="97">
        <v>93</v>
      </c>
      <c r="AF8" s="93">
        <v>-17</v>
      </c>
      <c r="AG8" s="97">
        <v>-269</v>
      </c>
      <c r="AH8" s="97">
        <v>-6</v>
      </c>
      <c r="AI8" s="97">
        <v>-23</v>
      </c>
      <c r="AJ8" s="93">
        <v>-263</v>
      </c>
      <c r="AK8" s="97">
        <v>42</v>
      </c>
      <c r="AL8" s="97">
        <v>-189</v>
      </c>
      <c r="AM8" s="97">
        <v>-472</v>
      </c>
      <c r="AN8" s="93">
        <v>20</v>
      </c>
      <c r="AO8" s="97">
        <v>610</v>
      </c>
      <c r="AP8" s="97">
        <v>-510.94405</v>
      </c>
      <c r="AQ8" s="97">
        <v>-109</v>
      </c>
      <c r="AR8" s="93">
        <v>-437</v>
      </c>
      <c r="AS8" s="97">
        <v>-2</v>
      </c>
      <c r="AT8" s="97">
        <v>270</v>
      </c>
    </row>
    <row r="9" spans="1:46">
      <c r="A9" s="160" t="s">
        <v>40</v>
      </c>
      <c r="B9" s="161">
        <v>-294</v>
      </c>
      <c r="C9" s="161">
        <v>-511</v>
      </c>
      <c r="D9" s="97">
        <v>-666</v>
      </c>
      <c r="E9" s="97">
        <v>-1747</v>
      </c>
      <c r="F9" s="97">
        <v>-2157</v>
      </c>
      <c r="G9" s="97">
        <v>-1800</v>
      </c>
      <c r="H9" s="97">
        <v>-1978</v>
      </c>
      <c r="I9" s="97">
        <v>-2676</v>
      </c>
      <c r="J9" s="97">
        <v>-3531</v>
      </c>
      <c r="K9" s="97">
        <v>-3039</v>
      </c>
      <c r="M9" s="161">
        <v>-86</v>
      </c>
      <c r="N9" s="235">
        <v>-190</v>
      </c>
      <c r="O9" s="235">
        <v>-210</v>
      </c>
      <c r="P9" s="93">
        <v>-180</v>
      </c>
      <c r="Q9" s="97">
        <v>-321</v>
      </c>
      <c r="R9" s="97">
        <v>-359</v>
      </c>
      <c r="S9" s="97">
        <v>-741</v>
      </c>
      <c r="T9" s="93">
        <v>-326</v>
      </c>
      <c r="U9" s="97">
        <v>-651</v>
      </c>
      <c r="V9" s="97">
        <v>-690</v>
      </c>
      <c r="W9" s="97">
        <v>-559</v>
      </c>
      <c r="X9" s="93">
        <v>-257</v>
      </c>
      <c r="Y9" s="97">
        <v>-385</v>
      </c>
      <c r="Z9" s="97">
        <v>-344</v>
      </c>
      <c r="AA9" s="97">
        <v>-544</v>
      </c>
      <c r="AB9" s="93">
        <v>-527</v>
      </c>
      <c r="AC9" s="97">
        <v>-471</v>
      </c>
      <c r="AD9" s="97">
        <v>-581</v>
      </c>
      <c r="AE9" s="97">
        <v>-456</v>
      </c>
      <c r="AF9" s="93">
        <v>-470</v>
      </c>
      <c r="AG9" s="97">
        <v>-639</v>
      </c>
      <c r="AH9" s="97">
        <v>-661</v>
      </c>
      <c r="AI9" s="97">
        <v>-466</v>
      </c>
      <c r="AJ9" s="93">
        <v>-910</v>
      </c>
      <c r="AK9" s="97">
        <v>-922</v>
      </c>
      <c r="AL9" s="97">
        <v>-1078</v>
      </c>
      <c r="AM9" s="97">
        <v>-849</v>
      </c>
      <c r="AN9" s="93">
        <v>-682</v>
      </c>
      <c r="AO9" s="97">
        <v>-714</v>
      </c>
      <c r="AP9" s="97">
        <v>-1040</v>
      </c>
      <c r="AQ9" s="97">
        <v>-773</v>
      </c>
      <c r="AR9" s="93">
        <v>-512</v>
      </c>
      <c r="AS9" s="97">
        <v>-655</v>
      </c>
      <c r="AT9" s="97">
        <v>-1025</v>
      </c>
    </row>
    <row r="10" spans="1:46">
      <c r="A10" s="160" t="s">
        <v>41</v>
      </c>
      <c r="B10" s="162">
        <v>-45</v>
      </c>
      <c r="C10" s="162">
        <v>-67</v>
      </c>
      <c r="D10" s="97">
        <v>-90</v>
      </c>
      <c r="E10" s="97">
        <v>-52</v>
      </c>
      <c r="F10" s="97">
        <v>-61</v>
      </c>
      <c r="G10" s="97">
        <v>-54</v>
      </c>
      <c r="H10" s="97">
        <v>-57</v>
      </c>
      <c r="I10" s="97">
        <v>-45</v>
      </c>
      <c r="J10" s="97">
        <v>-71</v>
      </c>
      <c r="K10" s="97">
        <v>-68</v>
      </c>
      <c r="M10" s="162">
        <v>-41</v>
      </c>
      <c r="N10" s="163">
        <v>-10</v>
      </c>
      <c r="O10" s="163">
        <v>-26</v>
      </c>
      <c r="P10" s="93">
        <v>-13</v>
      </c>
      <c r="Q10" s="97">
        <v>-35</v>
      </c>
      <c r="R10" s="97">
        <v>-11</v>
      </c>
      <c r="S10" s="97">
        <v>-10</v>
      </c>
      <c r="T10" s="93">
        <v>4</v>
      </c>
      <c r="U10" s="97">
        <v>-17</v>
      </c>
      <c r="V10" s="97">
        <v>-13</v>
      </c>
      <c r="W10" s="97">
        <v>-13</v>
      </c>
      <c r="X10" s="93">
        <v>-18</v>
      </c>
      <c r="Y10" s="97">
        <v>-1</v>
      </c>
      <c r="Z10" s="97">
        <v>-25</v>
      </c>
      <c r="AA10" s="97">
        <v>-8</v>
      </c>
      <c r="AB10" s="93">
        <v>-20</v>
      </c>
      <c r="AC10" s="97">
        <v>-10</v>
      </c>
      <c r="AD10" s="97">
        <v>-11</v>
      </c>
      <c r="AE10" s="97">
        <v>-20</v>
      </c>
      <c r="AF10" s="93">
        <v>-16</v>
      </c>
      <c r="AG10" s="97">
        <v>-12</v>
      </c>
      <c r="AH10" s="97">
        <v>-13</v>
      </c>
      <c r="AI10" s="97">
        <v>-12</v>
      </c>
      <c r="AJ10" s="93">
        <v>-8</v>
      </c>
      <c r="AK10" s="97">
        <v>-20</v>
      </c>
      <c r="AL10" s="97">
        <v>-16</v>
      </c>
      <c r="AM10" s="97">
        <v>-16</v>
      </c>
      <c r="AN10" s="93">
        <v>-19</v>
      </c>
      <c r="AO10" s="97">
        <v>7</v>
      </c>
      <c r="AP10" s="97">
        <v>-41</v>
      </c>
      <c r="AQ10" s="97">
        <v>-19</v>
      </c>
      <c r="AR10" s="93">
        <v>-15</v>
      </c>
      <c r="AS10" s="97">
        <v>-3</v>
      </c>
      <c r="AT10" s="97">
        <v>-16</v>
      </c>
    </row>
    <row r="11" spans="1:46">
      <c r="A11" s="160" t="s">
        <v>36</v>
      </c>
      <c r="B11" s="161">
        <v>417</v>
      </c>
      <c r="C11" s="161">
        <v>895</v>
      </c>
      <c r="D11" s="97">
        <v>-403</v>
      </c>
      <c r="E11" s="97">
        <v>-1875</v>
      </c>
      <c r="F11" s="97">
        <v>337</v>
      </c>
      <c r="G11" s="97">
        <v>1121</v>
      </c>
      <c r="H11" s="97">
        <v>-619</v>
      </c>
      <c r="I11" s="97">
        <v>-3737</v>
      </c>
      <c r="J11" s="97">
        <v>-3708</v>
      </c>
      <c r="K11" s="97">
        <v>-574</v>
      </c>
      <c r="M11" s="161">
        <v>-79</v>
      </c>
      <c r="N11" s="235">
        <v>-53</v>
      </c>
      <c r="O11" s="235">
        <v>-114</v>
      </c>
      <c r="P11" s="93">
        <v>-157</v>
      </c>
      <c r="Q11" s="97">
        <v>-465</v>
      </c>
      <c r="R11" s="97">
        <v>-1226</v>
      </c>
      <c r="S11" s="97">
        <v>-599</v>
      </c>
      <c r="T11" s="93">
        <v>415</v>
      </c>
      <c r="U11" s="97">
        <v>-720</v>
      </c>
      <c r="V11" s="97">
        <v>-131</v>
      </c>
      <c r="W11" s="97">
        <v>126</v>
      </c>
      <c r="X11" s="93">
        <v>1062</v>
      </c>
      <c r="Y11" s="97">
        <v>-519</v>
      </c>
      <c r="Z11" s="97">
        <v>985</v>
      </c>
      <c r="AA11" s="97">
        <v>-32</v>
      </c>
      <c r="AB11" s="93">
        <v>687</v>
      </c>
      <c r="AC11" s="97">
        <v>-156</v>
      </c>
      <c r="AD11" s="97">
        <v>-223</v>
      </c>
      <c r="AE11" s="97">
        <v>-487</v>
      </c>
      <c r="AF11" s="93">
        <v>247</v>
      </c>
      <c r="AG11" s="97">
        <v>-1169</v>
      </c>
      <c r="AH11" s="97">
        <v>-436</v>
      </c>
      <c r="AI11" s="97">
        <v>-1131</v>
      </c>
      <c r="AJ11" s="93">
        <v>-1001</v>
      </c>
      <c r="AK11" s="97">
        <v>-1839</v>
      </c>
      <c r="AL11" s="97">
        <v>-640</v>
      </c>
      <c r="AM11" s="97">
        <v>-840</v>
      </c>
      <c r="AN11" s="93">
        <v>-389</v>
      </c>
      <c r="AO11" s="97">
        <v>-643</v>
      </c>
      <c r="AP11" s="97">
        <v>-285</v>
      </c>
      <c r="AQ11" s="97">
        <v>-573</v>
      </c>
      <c r="AR11" s="93">
        <v>927</v>
      </c>
      <c r="AS11" s="97">
        <v>-773</v>
      </c>
      <c r="AT11" s="97">
        <v>-446</v>
      </c>
    </row>
    <row r="12" spans="1:46">
      <c r="A12" s="160" t="s">
        <v>37</v>
      </c>
      <c r="B12" s="161">
        <v>-899</v>
      </c>
      <c r="C12" s="161">
        <v>-677</v>
      </c>
      <c r="D12" s="97">
        <v>-793</v>
      </c>
      <c r="E12" s="97">
        <v>-896</v>
      </c>
      <c r="F12" s="97">
        <v>-915</v>
      </c>
      <c r="G12" s="97">
        <v>-595</v>
      </c>
      <c r="H12" s="97">
        <v>-775</v>
      </c>
      <c r="I12" s="97">
        <v>-875</v>
      </c>
      <c r="J12" s="97">
        <v>-1095</v>
      </c>
      <c r="K12" s="97">
        <v>-878</v>
      </c>
      <c r="M12" s="161">
        <v>-120</v>
      </c>
      <c r="N12" s="235">
        <v>-241</v>
      </c>
      <c r="O12" s="235">
        <v>-189</v>
      </c>
      <c r="P12" s="93">
        <v>-243</v>
      </c>
      <c r="Q12" s="97">
        <v>-178</v>
      </c>
      <c r="R12" s="97">
        <v>-265</v>
      </c>
      <c r="S12" s="97">
        <v>-215</v>
      </c>
      <c r="T12" s="93">
        <v>-238</v>
      </c>
      <c r="U12" s="97">
        <v>-266</v>
      </c>
      <c r="V12" s="97">
        <v>-279</v>
      </c>
      <c r="W12" s="97">
        <v>-181</v>
      </c>
      <c r="X12" s="93">
        <v>-189</v>
      </c>
      <c r="Y12" s="97">
        <v>-120</v>
      </c>
      <c r="Z12" s="97">
        <v>-194</v>
      </c>
      <c r="AA12" s="97">
        <v>-149</v>
      </c>
      <c r="AB12" s="93">
        <v>-132</v>
      </c>
      <c r="AC12" s="97">
        <v>-113</v>
      </c>
      <c r="AD12" s="97">
        <v>-255</v>
      </c>
      <c r="AE12" s="97">
        <v>-164</v>
      </c>
      <c r="AF12" s="93">
        <v>-243</v>
      </c>
      <c r="AG12" s="97">
        <v>-170</v>
      </c>
      <c r="AH12" s="97">
        <v>-298</v>
      </c>
      <c r="AI12" s="97">
        <v>-238</v>
      </c>
      <c r="AJ12" s="93">
        <v>-169</v>
      </c>
      <c r="AK12" s="97">
        <v>-222</v>
      </c>
      <c r="AL12" s="97">
        <v>-354</v>
      </c>
      <c r="AM12" s="97">
        <v>-236</v>
      </c>
      <c r="AN12" s="93">
        <v>-283</v>
      </c>
      <c r="AO12" s="97">
        <v>-214</v>
      </c>
      <c r="AP12" s="97">
        <v>-329</v>
      </c>
      <c r="AQ12" s="97">
        <v>-131</v>
      </c>
      <c r="AR12" s="93">
        <v>-204</v>
      </c>
      <c r="AS12" s="97">
        <v>-178</v>
      </c>
      <c r="AT12" s="97">
        <v>-329</v>
      </c>
    </row>
    <row r="13" spans="1:46">
      <c r="A13" s="160" t="s">
        <v>42</v>
      </c>
      <c r="B13" s="161">
        <v>335</v>
      </c>
      <c r="C13" s="161">
        <v>386</v>
      </c>
      <c r="D13" s="97">
        <v>422</v>
      </c>
      <c r="E13" s="97">
        <v>522</v>
      </c>
      <c r="F13" s="97">
        <v>572</v>
      </c>
      <c r="G13" s="97">
        <v>376</v>
      </c>
      <c r="H13" s="97">
        <v>348</v>
      </c>
      <c r="I13" s="97">
        <v>358</v>
      </c>
      <c r="J13" s="97">
        <v>521</v>
      </c>
      <c r="K13" s="97">
        <v>595</v>
      </c>
      <c r="M13" s="161">
        <v>77</v>
      </c>
      <c r="N13" s="235">
        <v>91</v>
      </c>
      <c r="O13" s="235">
        <v>123</v>
      </c>
      <c r="P13" s="93">
        <v>131</v>
      </c>
      <c r="Q13" s="97">
        <v>76</v>
      </c>
      <c r="R13" s="97">
        <v>107</v>
      </c>
      <c r="S13" s="97">
        <v>114</v>
      </c>
      <c r="T13" s="93">
        <v>225</v>
      </c>
      <c r="U13" s="97">
        <v>82</v>
      </c>
      <c r="V13" s="97">
        <v>143</v>
      </c>
      <c r="W13" s="97">
        <v>213</v>
      </c>
      <c r="X13" s="93">
        <v>134</v>
      </c>
      <c r="Y13" s="97">
        <v>61</v>
      </c>
      <c r="Z13" s="97">
        <v>85</v>
      </c>
      <c r="AA13" s="97">
        <v>112</v>
      </c>
      <c r="AB13" s="93">
        <v>118</v>
      </c>
      <c r="AC13" s="97">
        <v>83</v>
      </c>
      <c r="AD13" s="97">
        <v>70</v>
      </c>
      <c r="AE13" s="97">
        <v>89</v>
      </c>
      <c r="AF13" s="93">
        <v>106</v>
      </c>
      <c r="AG13" s="97">
        <v>109</v>
      </c>
      <c r="AH13" s="97">
        <v>75</v>
      </c>
      <c r="AI13" s="97">
        <v>90</v>
      </c>
      <c r="AJ13" s="93">
        <v>84</v>
      </c>
      <c r="AK13" s="97">
        <v>130</v>
      </c>
      <c r="AL13" s="97">
        <v>168</v>
      </c>
      <c r="AM13" s="97">
        <v>90</v>
      </c>
      <c r="AN13" s="93">
        <v>133</v>
      </c>
      <c r="AO13" s="97">
        <v>147</v>
      </c>
      <c r="AP13" s="97">
        <v>80</v>
      </c>
      <c r="AQ13" s="97">
        <v>141</v>
      </c>
      <c r="AR13" s="93">
        <v>227</v>
      </c>
      <c r="AS13" s="97">
        <v>165</v>
      </c>
      <c r="AT13" s="97">
        <v>104</v>
      </c>
    </row>
    <row r="14" spans="1:46" ht="10.5">
      <c r="A14" s="164" t="s">
        <v>43</v>
      </c>
      <c r="B14" s="232">
        <v>5858</v>
      </c>
      <c r="C14" s="232">
        <v>5402</v>
      </c>
      <c r="D14" s="232">
        <v>5176</v>
      </c>
      <c r="E14" s="232">
        <v>4324</v>
      </c>
      <c r="F14" s="232">
        <v>7228</v>
      </c>
      <c r="G14" s="232">
        <v>8334</v>
      </c>
      <c r="H14" s="232">
        <v>7607</v>
      </c>
      <c r="I14" s="232">
        <v>5558</v>
      </c>
      <c r="J14" s="232">
        <v>7143</v>
      </c>
      <c r="K14" s="232">
        <v>10460</v>
      </c>
      <c r="M14" s="232">
        <v>1255</v>
      </c>
      <c r="N14" s="232">
        <v>1486</v>
      </c>
      <c r="O14" s="232">
        <v>1419</v>
      </c>
      <c r="P14" s="165">
        <v>1016</v>
      </c>
      <c r="Q14" s="232">
        <v>979</v>
      </c>
      <c r="R14" s="232">
        <v>-62</v>
      </c>
      <c r="S14" s="232">
        <v>920</v>
      </c>
      <c r="T14" s="165">
        <v>2487</v>
      </c>
      <c r="U14" s="232">
        <v>589</v>
      </c>
      <c r="V14" s="232">
        <v>1610</v>
      </c>
      <c r="W14" s="232">
        <v>1852</v>
      </c>
      <c r="X14" s="165">
        <v>3177</v>
      </c>
      <c r="Y14" s="232">
        <v>1781</v>
      </c>
      <c r="Z14" s="232">
        <v>2383</v>
      </c>
      <c r="AA14" s="232">
        <v>1819</v>
      </c>
      <c r="AB14" s="165">
        <v>2351</v>
      </c>
      <c r="AC14" s="232">
        <v>1823</v>
      </c>
      <c r="AD14" s="232">
        <v>1422</v>
      </c>
      <c r="AE14" s="232">
        <v>1818</v>
      </c>
      <c r="AF14" s="165">
        <v>2544</v>
      </c>
      <c r="AG14" s="232">
        <v>751</v>
      </c>
      <c r="AH14" s="232">
        <v>1400</v>
      </c>
      <c r="AI14" s="232">
        <v>1664</v>
      </c>
      <c r="AJ14" s="165">
        <v>1743</v>
      </c>
      <c r="AK14" s="232">
        <v>739</v>
      </c>
      <c r="AL14" s="232">
        <v>1694</v>
      </c>
      <c r="AM14" s="232">
        <v>1917</v>
      </c>
      <c r="AN14" s="165">
        <v>2793</v>
      </c>
      <c r="AO14" s="232">
        <v>2404</v>
      </c>
      <c r="AP14" s="232">
        <v>1611</v>
      </c>
      <c r="AQ14" s="232">
        <v>2501</v>
      </c>
      <c r="AR14" s="165">
        <v>3944</v>
      </c>
      <c r="AS14" s="232">
        <v>2588</v>
      </c>
      <c r="AT14" s="232">
        <v>2122</v>
      </c>
    </row>
    <row r="15" spans="1:46" s="66" customFormat="1" ht="10.5">
      <c r="A15" s="166"/>
      <c r="B15" s="233"/>
      <c r="C15" s="233"/>
      <c r="D15" s="233"/>
      <c r="E15" s="233"/>
      <c r="F15" s="233"/>
      <c r="G15" s="233"/>
      <c r="H15" s="233"/>
      <c r="I15" s="233" t="s">
        <v>257</v>
      </c>
      <c r="J15" s="233"/>
      <c r="K15" s="233"/>
      <c r="L15" s="1"/>
      <c r="M15" s="233"/>
      <c r="N15" s="233"/>
      <c r="O15" s="233"/>
      <c r="P15" s="167"/>
      <c r="Q15" s="233"/>
      <c r="R15" s="233"/>
      <c r="S15" s="233"/>
      <c r="T15" s="167"/>
      <c r="U15" s="233"/>
      <c r="V15" s="233"/>
      <c r="W15" s="233"/>
      <c r="X15" s="167"/>
      <c r="Y15" s="233"/>
      <c r="Z15" s="233"/>
      <c r="AA15" s="233"/>
      <c r="AB15" s="167"/>
      <c r="AC15" s="233"/>
      <c r="AD15" s="233"/>
      <c r="AE15" s="233"/>
      <c r="AF15" s="167"/>
      <c r="AG15" s="233"/>
      <c r="AH15" s="233"/>
      <c r="AI15" s="233"/>
      <c r="AJ15" s="167"/>
      <c r="AK15" s="233"/>
      <c r="AL15" s="233"/>
      <c r="AM15" s="233"/>
      <c r="AN15" s="167"/>
      <c r="AO15" s="233"/>
      <c r="AP15" s="233"/>
      <c r="AQ15" s="233"/>
      <c r="AR15" s="167"/>
      <c r="AS15" s="233"/>
      <c r="AT15" s="233"/>
    </row>
    <row r="16" spans="1:46" ht="10.5">
      <c r="A16" s="156" t="s">
        <v>44</v>
      </c>
      <c r="B16" s="157"/>
      <c r="C16" s="157"/>
      <c r="D16" s="97"/>
      <c r="E16" s="97"/>
      <c r="F16" s="97"/>
      <c r="G16" s="97"/>
      <c r="H16" s="97"/>
      <c r="I16" s="97" t="s">
        <v>257</v>
      </c>
      <c r="J16" s="97"/>
      <c r="K16" s="97"/>
      <c r="M16" s="157"/>
      <c r="N16" s="168"/>
      <c r="O16" s="168"/>
      <c r="P16" s="93"/>
      <c r="Q16" s="97"/>
      <c r="R16" s="97"/>
      <c r="S16" s="97"/>
      <c r="T16" s="93"/>
      <c r="U16" s="97"/>
      <c r="V16" s="97"/>
      <c r="W16" s="97"/>
      <c r="X16" s="93"/>
      <c r="Y16" s="97"/>
      <c r="Z16" s="97"/>
      <c r="AA16" s="97"/>
      <c r="AB16" s="93"/>
      <c r="AC16" s="97"/>
      <c r="AD16" s="97"/>
      <c r="AE16" s="97"/>
      <c r="AF16" s="93"/>
      <c r="AG16" s="97"/>
      <c r="AH16" s="97"/>
      <c r="AI16" s="97"/>
      <c r="AJ16" s="93"/>
      <c r="AK16" s="97"/>
      <c r="AL16" s="97"/>
      <c r="AM16" s="97"/>
      <c r="AN16" s="93"/>
      <c r="AO16" s="97"/>
      <c r="AP16" s="97"/>
      <c r="AQ16" s="97"/>
      <c r="AR16" s="93"/>
      <c r="AS16" s="97"/>
      <c r="AT16" s="97"/>
    </row>
    <row r="17" spans="1:46">
      <c r="A17" s="160" t="s">
        <v>173</v>
      </c>
      <c r="B17" s="161">
        <v>-368</v>
      </c>
      <c r="C17" s="161">
        <v>-293</v>
      </c>
      <c r="D17" s="97">
        <v>-424</v>
      </c>
      <c r="E17" s="97">
        <v>-577</v>
      </c>
      <c r="F17" s="97">
        <v>-486</v>
      </c>
      <c r="G17" s="97">
        <v>-507</v>
      </c>
      <c r="H17" s="97">
        <v>-489</v>
      </c>
      <c r="I17" s="97">
        <v>-600</v>
      </c>
      <c r="J17" s="97">
        <v>-1044</v>
      </c>
      <c r="K17" s="97">
        <v>-890</v>
      </c>
      <c r="M17" s="161">
        <v>-108</v>
      </c>
      <c r="N17" s="235">
        <v>-116</v>
      </c>
      <c r="O17" s="235">
        <v>-85</v>
      </c>
      <c r="P17" s="93">
        <v>-115</v>
      </c>
      <c r="Q17" s="97">
        <v>-129</v>
      </c>
      <c r="R17" s="97">
        <v>-161</v>
      </c>
      <c r="S17" s="97">
        <v>-136</v>
      </c>
      <c r="T17" s="93">
        <v>-151</v>
      </c>
      <c r="U17" s="97">
        <v>-158</v>
      </c>
      <c r="V17" s="97">
        <v>-117</v>
      </c>
      <c r="W17" s="97">
        <v>-111</v>
      </c>
      <c r="X17" s="93">
        <v>-100</v>
      </c>
      <c r="Y17" s="97">
        <v>-120</v>
      </c>
      <c r="Z17" s="97">
        <v>-107</v>
      </c>
      <c r="AA17" s="97">
        <v>-129</v>
      </c>
      <c r="AB17" s="93">
        <v>-151</v>
      </c>
      <c r="AC17" s="97">
        <v>-141</v>
      </c>
      <c r="AD17" s="97">
        <v>-100</v>
      </c>
      <c r="AE17" s="97">
        <v>-154</v>
      </c>
      <c r="AF17" s="93">
        <v>-94</v>
      </c>
      <c r="AG17" s="97">
        <v>-144</v>
      </c>
      <c r="AH17" s="97">
        <v>-126</v>
      </c>
      <c r="AI17" s="97">
        <v>-112</v>
      </c>
      <c r="AJ17" s="93">
        <v>-218</v>
      </c>
      <c r="AK17" s="97">
        <v>-234</v>
      </c>
      <c r="AL17" s="97">
        <v>-219</v>
      </c>
      <c r="AM17" s="97">
        <v>-222</v>
      </c>
      <c r="AN17" s="93">
        <v>-369</v>
      </c>
      <c r="AO17" s="97">
        <v>-215</v>
      </c>
      <c r="AP17" s="97">
        <v>-200</v>
      </c>
      <c r="AQ17" s="97">
        <v>-201</v>
      </c>
      <c r="AR17" s="93">
        <v>-274</v>
      </c>
      <c r="AS17" s="97">
        <v>-269</v>
      </c>
      <c r="AT17" s="97">
        <v>-300</v>
      </c>
    </row>
    <row r="18" spans="1:46">
      <c r="A18" s="160" t="s">
        <v>174</v>
      </c>
      <c r="B18" s="161">
        <v>453</v>
      </c>
      <c r="C18" s="161">
        <v>58</v>
      </c>
      <c r="D18" s="97">
        <v>70</v>
      </c>
      <c r="E18" s="97">
        <v>26</v>
      </c>
      <c r="F18" s="97">
        <v>60</v>
      </c>
      <c r="G18" s="97">
        <v>84</v>
      </c>
      <c r="H18" s="97">
        <v>1</v>
      </c>
      <c r="I18" s="97">
        <v>62</v>
      </c>
      <c r="J18" s="97">
        <v>53</v>
      </c>
      <c r="K18" s="97">
        <v>16</v>
      </c>
      <c r="M18" s="161">
        <v>13</v>
      </c>
      <c r="N18" s="235">
        <v>2</v>
      </c>
      <c r="O18" s="235">
        <v>16</v>
      </c>
      <c r="P18" s="93">
        <v>39</v>
      </c>
      <c r="Q18" s="97">
        <v>10</v>
      </c>
      <c r="R18" s="97">
        <v>6</v>
      </c>
      <c r="S18" s="97">
        <v>8</v>
      </c>
      <c r="T18" s="93">
        <v>2</v>
      </c>
      <c r="U18" s="97">
        <v>9</v>
      </c>
      <c r="V18" s="97">
        <v>16</v>
      </c>
      <c r="W18" s="97">
        <v>18</v>
      </c>
      <c r="X18" s="93">
        <v>17</v>
      </c>
      <c r="Y18" s="97">
        <v>20</v>
      </c>
      <c r="Z18" s="97">
        <v>1</v>
      </c>
      <c r="AA18" s="97">
        <v>1</v>
      </c>
      <c r="AB18" s="93">
        <v>62</v>
      </c>
      <c r="AC18" s="97">
        <v>-1</v>
      </c>
      <c r="AD18" s="97">
        <v>-2</v>
      </c>
      <c r="AE18" s="97" t="s">
        <v>113</v>
      </c>
      <c r="AF18" s="93">
        <v>4</v>
      </c>
      <c r="AG18" s="97">
        <v>9</v>
      </c>
      <c r="AH18" s="97">
        <v>3</v>
      </c>
      <c r="AI18" s="97">
        <v>14</v>
      </c>
      <c r="AJ18" s="93">
        <v>36</v>
      </c>
      <c r="AK18" s="97">
        <v>7</v>
      </c>
      <c r="AL18" s="97">
        <v>19</v>
      </c>
      <c r="AM18" s="97">
        <v>9</v>
      </c>
      <c r="AN18" s="93">
        <v>18</v>
      </c>
      <c r="AO18" s="97">
        <v>11</v>
      </c>
      <c r="AP18" s="97">
        <v>4</v>
      </c>
      <c r="AQ18" s="235" t="s">
        <v>113</v>
      </c>
      <c r="AR18" s="93">
        <v>1</v>
      </c>
      <c r="AS18" s="97">
        <v>6</v>
      </c>
      <c r="AT18" s="97">
        <v>8</v>
      </c>
    </row>
    <row r="19" spans="1:46">
      <c r="A19" s="160" t="s">
        <v>45</v>
      </c>
      <c r="B19" s="161">
        <v>-313</v>
      </c>
      <c r="C19" s="161">
        <v>-287</v>
      </c>
      <c r="D19" s="97">
        <v>-289</v>
      </c>
      <c r="E19" s="97">
        <v>-459</v>
      </c>
      <c r="F19" s="97">
        <v>-537</v>
      </c>
      <c r="G19" s="97">
        <v>-498</v>
      </c>
      <c r="H19" s="97">
        <v>-437</v>
      </c>
      <c r="I19" s="97">
        <v>-414</v>
      </c>
      <c r="J19" s="97">
        <v>-643</v>
      </c>
      <c r="K19" s="97">
        <v>-966</v>
      </c>
      <c r="M19" s="161">
        <v>-49</v>
      </c>
      <c r="N19" s="235">
        <v>-59</v>
      </c>
      <c r="O19" s="235">
        <v>-108</v>
      </c>
      <c r="P19" s="93">
        <v>-73</v>
      </c>
      <c r="Q19" s="97">
        <v>-103</v>
      </c>
      <c r="R19" s="97">
        <v>-108</v>
      </c>
      <c r="S19" s="97">
        <v>-102</v>
      </c>
      <c r="T19" s="93">
        <v>-146</v>
      </c>
      <c r="U19" s="97">
        <v>-108</v>
      </c>
      <c r="V19" s="97">
        <v>-160</v>
      </c>
      <c r="W19" s="97">
        <v>-90</v>
      </c>
      <c r="X19" s="93">
        <v>-179</v>
      </c>
      <c r="Y19" s="97">
        <v>-120</v>
      </c>
      <c r="Z19" s="97">
        <v>-125</v>
      </c>
      <c r="AA19" s="97">
        <v>-118</v>
      </c>
      <c r="AB19" s="93">
        <v>-135</v>
      </c>
      <c r="AC19" s="97">
        <v>-112</v>
      </c>
      <c r="AD19" s="97">
        <v>-99</v>
      </c>
      <c r="AE19" s="97">
        <v>-96</v>
      </c>
      <c r="AF19" s="93">
        <v>-130</v>
      </c>
      <c r="AG19" s="97">
        <v>-115</v>
      </c>
      <c r="AH19" s="97">
        <v>-121</v>
      </c>
      <c r="AI19" s="97">
        <v>-76</v>
      </c>
      <c r="AJ19" s="93">
        <v>-102</v>
      </c>
      <c r="AK19" s="97">
        <v>-111</v>
      </c>
      <c r="AL19" s="97">
        <v>-214</v>
      </c>
      <c r="AM19" s="97">
        <v>-106</v>
      </c>
      <c r="AN19" s="93">
        <v>-212</v>
      </c>
      <c r="AO19" s="97">
        <v>-176</v>
      </c>
      <c r="AP19" s="97">
        <v>-190</v>
      </c>
      <c r="AQ19" s="97">
        <v>-343</v>
      </c>
      <c r="AR19" s="93">
        <v>-257</v>
      </c>
      <c r="AS19" s="97">
        <v>-207</v>
      </c>
      <c r="AT19" s="97">
        <v>-240</v>
      </c>
    </row>
    <row r="20" spans="1:46">
      <c r="A20" s="160" t="s">
        <v>46</v>
      </c>
      <c r="B20" s="234" t="s">
        <v>113</v>
      </c>
      <c r="C20" s="234" t="s">
        <v>113</v>
      </c>
      <c r="D20" s="234" t="s">
        <v>113</v>
      </c>
      <c r="E20" s="234">
        <v>0</v>
      </c>
      <c r="F20" s="234">
        <v>16</v>
      </c>
      <c r="G20" s="234">
        <v>4</v>
      </c>
      <c r="H20" s="234" t="s">
        <v>113</v>
      </c>
      <c r="I20" s="234" t="s">
        <v>113</v>
      </c>
      <c r="J20" s="234">
        <v>3</v>
      </c>
      <c r="K20" s="234" t="s">
        <v>113</v>
      </c>
      <c r="M20" s="234" t="s">
        <v>113</v>
      </c>
      <c r="N20" s="234" t="s">
        <v>113</v>
      </c>
      <c r="O20" s="234" t="s">
        <v>113</v>
      </c>
      <c r="P20" s="169" t="s">
        <v>113</v>
      </c>
      <c r="Q20" s="234" t="s">
        <v>113</v>
      </c>
      <c r="R20" s="234" t="s">
        <v>113</v>
      </c>
      <c r="S20" s="234" t="s">
        <v>113</v>
      </c>
      <c r="T20" s="169">
        <v>0</v>
      </c>
      <c r="U20" s="234">
        <v>0</v>
      </c>
      <c r="V20" s="234">
        <v>0</v>
      </c>
      <c r="W20" s="234">
        <v>1</v>
      </c>
      <c r="X20" s="169">
        <v>15</v>
      </c>
      <c r="Y20" s="234">
        <v>0</v>
      </c>
      <c r="Z20" s="234">
        <v>-4</v>
      </c>
      <c r="AA20" s="234">
        <v>-1</v>
      </c>
      <c r="AB20" s="169">
        <v>9</v>
      </c>
      <c r="AC20" s="234" t="s">
        <v>113</v>
      </c>
      <c r="AD20" s="234" t="s">
        <v>113</v>
      </c>
      <c r="AE20" s="234" t="s">
        <v>113</v>
      </c>
      <c r="AF20" s="169" t="s">
        <v>113</v>
      </c>
      <c r="AG20" s="234" t="s">
        <v>113</v>
      </c>
      <c r="AH20" s="234" t="s">
        <v>113</v>
      </c>
      <c r="AI20" s="234" t="s">
        <v>113</v>
      </c>
      <c r="AJ20" s="169" t="s">
        <v>113</v>
      </c>
      <c r="AK20" s="234">
        <v>0</v>
      </c>
      <c r="AL20" s="234">
        <v>3</v>
      </c>
      <c r="AM20" s="235" t="s">
        <v>113</v>
      </c>
      <c r="AN20" s="169" t="s">
        <v>113</v>
      </c>
      <c r="AO20" s="234" t="s">
        <v>113</v>
      </c>
      <c r="AP20" s="235" t="s">
        <v>113</v>
      </c>
      <c r="AQ20" s="235" t="s">
        <v>113</v>
      </c>
      <c r="AR20" s="170" t="s">
        <v>113</v>
      </c>
      <c r="AS20" s="234" t="s">
        <v>113</v>
      </c>
      <c r="AT20" s="235">
        <v>9</v>
      </c>
    </row>
    <row r="21" spans="1:46">
      <c r="A21" s="160" t="s">
        <v>227</v>
      </c>
      <c r="B21" s="234" t="s">
        <v>113</v>
      </c>
      <c r="C21" s="234" t="s">
        <v>113</v>
      </c>
      <c r="D21" s="97">
        <v>-137</v>
      </c>
      <c r="E21" s="97">
        <v>-546</v>
      </c>
      <c r="F21" s="97">
        <v>-1137</v>
      </c>
      <c r="G21" s="97">
        <v>-63</v>
      </c>
      <c r="H21" s="97">
        <v>-2358</v>
      </c>
      <c r="I21" s="97">
        <v>-4696</v>
      </c>
      <c r="J21" s="97">
        <v>-3666</v>
      </c>
      <c r="K21" s="97">
        <v>-9658</v>
      </c>
      <c r="M21" s="161">
        <v>-66</v>
      </c>
      <c r="N21" s="235">
        <v>-6</v>
      </c>
      <c r="O21" s="235">
        <v>-65</v>
      </c>
      <c r="P21" s="93">
        <v>0</v>
      </c>
      <c r="Q21" s="97">
        <v>-482</v>
      </c>
      <c r="R21" s="97">
        <v>0</v>
      </c>
      <c r="S21" s="46" t="s">
        <v>113</v>
      </c>
      <c r="T21" s="96">
        <v>-64</v>
      </c>
      <c r="U21" s="97">
        <v>-449</v>
      </c>
      <c r="V21" s="97">
        <v>-578</v>
      </c>
      <c r="W21" s="97">
        <v>-107</v>
      </c>
      <c r="X21" s="93">
        <v>-3</v>
      </c>
      <c r="Y21" s="97">
        <v>-15</v>
      </c>
      <c r="Z21" s="97">
        <v>-15</v>
      </c>
      <c r="AA21" s="97">
        <v>-32</v>
      </c>
      <c r="AB21" s="93">
        <v>-1</v>
      </c>
      <c r="AC21" s="97" t="s">
        <v>113</v>
      </c>
      <c r="AD21" s="97">
        <v>-1284</v>
      </c>
      <c r="AE21" s="97">
        <v>-496</v>
      </c>
      <c r="AF21" s="93">
        <v>-578</v>
      </c>
      <c r="AG21" s="97">
        <v>-18</v>
      </c>
      <c r="AH21" s="97">
        <v>-267</v>
      </c>
      <c r="AI21" s="97">
        <v>-210</v>
      </c>
      <c r="AJ21" s="93">
        <v>-4201</v>
      </c>
      <c r="AK21" s="97">
        <v>-3279</v>
      </c>
      <c r="AL21" s="97">
        <v>-38</v>
      </c>
      <c r="AM21" s="97">
        <v>-7</v>
      </c>
      <c r="AN21" s="93">
        <v>-342</v>
      </c>
      <c r="AO21" s="234" t="s">
        <v>113</v>
      </c>
      <c r="AP21" s="97">
        <v>-8294</v>
      </c>
      <c r="AQ21" s="97">
        <v>-1080</v>
      </c>
      <c r="AR21" s="93">
        <v>-284</v>
      </c>
      <c r="AS21" s="234">
        <v>-75</v>
      </c>
      <c r="AT21" s="97">
        <v>-13</v>
      </c>
    </row>
    <row r="22" spans="1:46">
      <c r="A22" s="160" t="s">
        <v>1271</v>
      </c>
      <c r="B22" s="234" t="s">
        <v>113</v>
      </c>
      <c r="C22" s="234" t="s">
        <v>113</v>
      </c>
      <c r="D22" s="235" t="s">
        <v>113</v>
      </c>
      <c r="E22" s="235">
        <v>0</v>
      </c>
      <c r="F22" s="235">
        <v>153</v>
      </c>
      <c r="G22" s="235">
        <v>-12</v>
      </c>
      <c r="H22" s="235">
        <v>6</v>
      </c>
      <c r="I22" s="235">
        <v>10</v>
      </c>
      <c r="J22" s="235" t="s">
        <v>113</v>
      </c>
      <c r="K22" s="235" t="s">
        <v>113</v>
      </c>
      <c r="M22" s="235" t="s">
        <v>113</v>
      </c>
      <c r="N22" s="235" t="s">
        <v>113</v>
      </c>
      <c r="O22" s="235" t="s">
        <v>113</v>
      </c>
      <c r="P22" s="170" t="s">
        <v>113</v>
      </c>
      <c r="Q22" s="235" t="s">
        <v>113</v>
      </c>
      <c r="R22" s="235" t="s">
        <v>113</v>
      </c>
      <c r="S22" s="235" t="s">
        <v>113</v>
      </c>
      <c r="T22" s="170">
        <v>0</v>
      </c>
      <c r="U22" s="235">
        <v>0</v>
      </c>
      <c r="V22" s="235">
        <v>0</v>
      </c>
      <c r="W22" s="235">
        <v>140</v>
      </c>
      <c r="X22" s="170">
        <v>13</v>
      </c>
      <c r="Y22" s="235">
        <v>0</v>
      </c>
      <c r="Z22" s="235">
        <v>-13</v>
      </c>
      <c r="AA22" s="235">
        <v>1</v>
      </c>
      <c r="AB22" s="170">
        <v>0</v>
      </c>
      <c r="AC22" s="235" t="s">
        <v>113</v>
      </c>
      <c r="AD22" s="235">
        <v>2</v>
      </c>
      <c r="AE22" s="235">
        <v>4</v>
      </c>
      <c r="AF22" s="170" t="s">
        <v>113</v>
      </c>
      <c r="AG22" s="235" t="s">
        <v>113</v>
      </c>
      <c r="AH22" s="235">
        <v>10</v>
      </c>
      <c r="AI22" s="235" t="s">
        <v>113</v>
      </c>
      <c r="AJ22" s="170" t="s">
        <v>113</v>
      </c>
      <c r="AK22" s="235" t="s">
        <v>113</v>
      </c>
      <c r="AL22" s="235" t="s">
        <v>113</v>
      </c>
      <c r="AM22" s="235" t="s">
        <v>113</v>
      </c>
      <c r="AN22" s="170" t="s">
        <v>113</v>
      </c>
      <c r="AO22" s="235" t="s">
        <v>113</v>
      </c>
      <c r="AP22" s="235" t="s">
        <v>113</v>
      </c>
      <c r="AQ22" s="235" t="s">
        <v>113</v>
      </c>
      <c r="AR22" s="170" t="s">
        <v>113</v>
      </c>
      <c r="AS22" s="235">
        <v>1</v>
      </c>
      <c r="AT22" s="235" t="s">
        <v>113</v>
      </c>
    </row>
    <row r="23" spans="1:46">
      <c r="A23" s="160" t="s">
        <v>175</v>
      </c>
      <c r="B23" s="171">
        <v>-2947</v>
      </c>
      <c r="C23" s="171">
        <v>-1283</v>
      </c>
      <c r="D23" s="97">
        <v>6323</v>
      </c>
      <c r="E23" s="97">
        <v>219</v>
      </c>
      <c r="F23" s="97">
        <v>276</v>
      </c>
      <c r="G23" s="97">
        <v>384</v>
      </c>
      <c r="H23" s="97">
        <v>-196</v>
      </c>
      <c r="I23" s="97">
        <v>-353</v>
      </c>
      <c r="J23" s="97">
        <v>-467</v>
      </c>
      <c r="K23" s="97">
        <v>-192</v>
      </c>
      <c r="M23" s="171">
        <v>1362</v>
      </c>
      <c r="N23" s="235">
        <v>-1093</v>
      </c>
      <c r="O23" s="235">
        <v>3043</v>
      </c>
      <c r="P23" s="93">
        <v>3011</v>
      </c>
      <c r="Q23" s="97">
        <v>-137</v>
      </c>
      <c r="R23" s="97">
        <v>-54</v>
      </c>
      <c r="S23" s="97">
        <v>292</v>
      </c>
      <c r="T23" s="93">
        <v>118</v>
      </c>
      <c r="U23" s="97">
        <v>-122</v>
      </c>
      <c r="V23" s="97">
        <v>76</v>
      </c>
      <c r="W23" s="97">
        <v>78</v>
      </c>
      <c r="X23" s="93">
        <v>244</v>
      </c>
      <c r="Y23" s="97">
        <v>35</v>
      </c>
      <c r="Z23" s="97">
        <v>144</v>
      </c>
      <c r="AA23" s="97">
        <v>95</v>
      </c>
      <c r="AB23" s="93">
        <v>110</v>
      </c>
      <c r="AC23" s="97">
        <v>-79</v>
      </c>
      <c r="AD23" s="97">
        <v>-3</v>
      </c>
      <c r="AE23" s="97">
        <v>-60</v>
      </c>
      <c r="AF23" s="93">
        <v>-54</v>
      </c>
      <c r="AG23" s="97">
        <v>-86</v>
      </c>
      <c r="AH23" s="97">
        <v>-122</v>
      </c>
      <c r="AI23" s="97">
        <v>-203</v>
      </c>
      <c r="AJ23" s="93">
        <v>58</v>
      </c>
      <c r="AK23" s="97">
        <v>-122</v>
      </c>
      <c r="AL23" s="97">
        <v>-325</v>
      </c>
      <c r="AM23" s="97">
        <v>-45</v>
      </c>
      <c r="AN23" s="93">
        <v>25</v>
      </c>
      <c r="AO23" s="97">
        <v>-131</v>
      </c>
      <c r="AP23" s="97">
        <v>-23</v>
      </c>
      <c r="AQ23" s="97">
        <v>-106</v>
      </c>
      <c r="AR23" s="93">
        <v>68</v>
      </c>
      <c r="AS23" s="97">
        <v>263</v>
      </c>
      <c r="AT23" s="97">
        <v>-156</v>
      </c>
    </row>
    <row r="24" spans="1:46">
      <c r="A24" s="160" t="s">
        <v>838</v>
      </c>
      <c r="B24" s="171"/>
      <c r="C24" s="171"/>
      <c r="D24" s="97"/>
      <c r="E24" s="97"/>
      <c r="F24" s="97"/>
      <c r="G24" s="97"/>
      <c r="H24" s="97"/>
      <c r="I24" s="97"/>
      <c r="J24" s="97">
        <v>527</v>
      </c>
      <c r="K24" s="235" t="s">
        <v>113</v>
      </c>
      <c r="M24" s="171"/>
      <c r="N24" s="235"/>
      <c r="O24" s="235"/>
      <c r="P24" s="93"/>
      <c r="Q24" s="97"/>
      <c r="R24" s="97"/>
      <c r="S24" s="97"/>
      <c r="T24" s="93"/>
      <c r="U24" s="97"/>
      <c r="V24" s="97"/>
      <c r="W24" s="97"/>
      <c r="X24" s="93"/>
      <c r="Y24" s="97"/>
      <c r="Z24" s="97"/>
      <c r="AA24" s="97"/>
      <c r="AB24" s="93"/>
      <c r="AC24" s="97"/>
      <c r="AD24" s="97"/>
      <c r="AE24" s="97"/>
      <c r="AF24" s="93"/>
      <c r="AG24" s="97"/>
      <c r="AH24" s="97"/>
      <c r="AI24" s="97"/>
      <c r="AJ24" s="93"/>
      <c r="AK24" s="97"/>
      <c r="AL24" s="97"/>
      <c r="AM24" s="97"/>
      <c r="AN24" s="93">
        <v>527</v>
      </c>
      <c r="AO24" s="235" t="s">
        <v>113</v>
      </c>
      <c r="AP24" s="235" t="s">
        <v>113</v>
      </c>
      <c r="AQ24" s="235" t="s">
        <v>113</v>
      </c>
      <c r="AR24" s="170" t="s">
        <v>113</v>
      </c>
      <c r="AS24" s="235" t="s">
        <v>113</v>
      </c>
      <c r="AT24" s="235" t="s">
        <v>113</v>
      </c>
    </row>
    <row r="25" spans="1:46" ht="10.5">
      <c r="A25" s="164" t="s">
        <v>47</v>
      </c>
      <c r="B25" s="232">
        <v>-3175</v>
      </c>
      <c r="C25" s="232">
        <v>-1805</v>
      </c>
      <c r="D25" s="236">
        <v>5543</v>
      </c>
      <c r="E25" s="236">
        <v>-1337</v>
      </c>
      <c r="F25" s="236">
        <v>-1655</v>
      </c>
      <c r="G25" s="236">
        <v>-608</v>
      </c>
      <c r="H25" s="236">
        <v>-3473</v>
      </c>
      <c r="I25" s="236">
        <v>-5991</v>
      </c>
      <c r="J25" s="236">
        <v>-5237</v>
      </c>
      <c r="K25" s="236">
        <v>-11690</v>
      </c>
      <c r="M25" s="232">
        <v>1152</v>
      </c>
      <c r="N25" s="236">
        <v>-1272</v>
      </c>
      <c r="O25" s="236">
        <v>2801</v>
      </c>
      <c r="P25" s="172">
        <v>2862</v>
      </c>
      <c r="Q25" s="236">
        <v>-841</v>
      </c>
      <c r="R25" s="236">
        <v>-317</v>
      </c>
      <c r="S25" s="236">
        <v>62</v>
      </c>
      <c r="T25" s="172">
        <v>-241</v>
      </c>
      <c r="U25" s="236">
        <v>-828</v>
      </c>
      <c r="V25" s="236">
        <v>-763</v>
      </c>
      <c r="W25" s="236">
        <v>-71</v>
      </c>
      <c r="X25" s="172">
        <v>7</v>
      </c>
      <c r="Y25" s="236">
        <v>-200</v>
      </c>
      <c r="Z25" s="236">
        <v>-119</v>
      </c>
      <c r="AA25" s="236">
        <v>-183</v>
      </c>
      <c r="AB25" s="172">
        <v>-106</v>
      </c>
      <c r="AC25" s="236">
        <v>-333</v>
      </c>
      <c r="AD25" s="236">
        <v>-1486</v>
      </c>
      <c r="AE25" s="236">
        <v>-802</v>
      </c>
      <c r="AF25" s="172">
        <v>-852</v>
      </c>
      <c r="AG25" s="236">
        <v>-354</v>
      </c>
      <c r="AH25" s="236">
        <v>-623</v>
      </c>
      <c r="AI25" s="236">
        <v>-587</v>
      </c>
      <c r="AJ25" s="172">
        <v>-4427</v>
      </c>
      <c r="AK25" s="236">
        <v>-3739</v>
      </c>
      <c r="AL25" s="236">
        <v>-774</v>
      </c>
      <c r="AM25" s="236">
        <v>-371</v>
      </c>
      <c r="AN25" s="172">
        <v>-353</v>
      </c>
      <c r="AO25" s="236">
        <v>-511</v>
      </c>
      <c r="AP25" s="236">
        <v>-8703</v>
      </c>
      <c r="AQ25" s="236">
        <v>-1730</v>
      </c>
      <c r="AR25" s="172">
        <v>-746</v>
      </c>
      <c r="AS25" s="236">
        <v>-281</v>
      </c>
      <c r="AT25" s="236">
        <v>-692</v>
      </c>
    </row>
    <row r="26" spans="1:46" s="66" customFormat="1" ht="10.5">
      <c r="A26" s="166"/>
      <c r="B26" s="233"/>
      <c r="C26" s="233"/>
      <c r="D26" s="238"/>
      <c r="E26" s="238"/>
      <c r="F26" s="238"/>
      <c r="G26" s="238"/>
      <c r="H26" s="238"/>
      <c r="I26" s="238" t="s">
        <v>257</v>
      </c>
      <c r="J26" s="238"/>
      <c r="K26" s="238"/>
      <c r="L26" s="1"/>
      <c r="M26" s="233"/>
      <c r="N26" s="238"/>
      <c r="O26" s="238"/>
      <c r="P26" s="173"/>
      <c r="Q26" s="238"/>
      <c r="R26" s="238"/>
      <c r="S26" s="238"/>
      <c r="T26" s="173"/>
      <c r="U26" s="238"/>
      <c r="V26" s="238"/>
      <c r="W26" s="238"/>
      <c r="X26" s="173"/>
      <c r="Y26" s="238"/>
      <c r="Z26" s="238"/>
      <c r="AA26" s="238"/>
      <c r="AB26" s="173"/>
      <c r="AC26" s="238"/>
      <c r="AD26" s="238"/>
      <c r="AE26" s="238"/>
      <c r="AF26" s="173"/>
      <c r="AG26" s="238"/>
      <c r="AH26" s="238"/>
      <c r="AI26" s="238"/>
      <c r="AJ26" s="173"/>
      <c r="AK26" s="238"/>
      <c r="AL26" s="238"/>
      <c r="AM26" s="238"/>
      <c r="AN26" s="173"/>
      <c r="AO26" s="238"/>
      <c r="AP26" s="238"/>
      <c r="AQ26" s="238"/>
      <c r="AR26" s="173"/>
      <c r="AS26" s="238"/>
      <c r="AT26" s="238"/>
    </row>
    <row r="27" spans="1:46" ht="10.5">
      <c r="A27" s="156" t="s">
        <v>48</v>
      </c>
      <c r="B27" s="157"/>
      <c r="C27" s="157"/>
      <c r="D27" s="97"/>
      <c r="E27" s="97"/>
      <c r="F27" s="97"/>
      <c r="G27" s="97"/>
      <c r="H27" s="97"/>
      <c r="I27" s="97" t="s">
        <v>257</v>
      </c>
      <c r="J27" s="97"/>
      <c r="K27" s="97"/>
      <c r="M27" s="157"/>
      <c r="N27" s="168"/>
      <c r="O27" s="168"/>
      <c r="P27" s="93"/>
      <c r="Q27" s="97"/>
      <c r="R27" s="97"/>
      <c r="S27" s="97"/>
      <c r="T27" s="93"/>
      <c r="U27" s="97"/>
      <c r="V27" s="97"/>
      <c r="W27" s="97"/>
      <c r="X27" s="93"/>
      <c r="Y27" s="97"/>
      <c r="Z27" s="97"/>
      <c r="AA27" s="97"/>
      <c r="AB27" s="93"/>
      <c r="AC27" s="97"/>
      <c r="AD27" s="97"/>
      <c r="AE27" s="97"/>
      <c r="AF27" s="93"/>
      <c r="AG27" s="97"/>
      <c r="AH27" s="97"/>
      <c r="AI27" s="97"/>
      <c r="AJ27" s="93"/>
      <c r="AK27" s="97"/>
      <c r="AL27" s="97"/>
      <c r="AM27" s="97"/>
      <c r="AN27" s="93"/>
      <c r="AO27" s="97"/>
      <c r="AP27" s="97"/>
      <c r="AQ27" s="97"/>
      <c r="AR27" s="93"/>
      <c r="AS27" s="97"/>
      <c r="AT27" s="97"/>
    </row>
    <row r="28" spans="1:46">
      <c r="A28" s="24" t="s">
        <v>100</v>
      </c>
      <c r="B28" s="235" t="s">
        <v>113</v>
      </c>
      <c r="C28" s="235" t="s">
        <v>113</v>
      </c>
      <c r="D28" s="235" t="s">
        <v>113</v>
      </c>
      <c r="E28" s="235" t="s">
        <v>113</v>
      </c>
      <c r="F28" s="235">
        <v>-2523</v>
      </c>
      <c r="G28" s="235">
        <v>-2892</v>
      </c>
      <c r="H28" s="235">
        <v>-3016</v>
      </c>
      <c r="I28" s="235">
        <v>-3619</v>
      </c>
      <c r="J28" s="235">
        <v>-4103</v>
      </c>
      <c r="K28" s="235">
        <v>-4591</v>
      </c>
      <c r="M28" s="235" t="s">
        <v>113</v>
      </c>
      <c r="N28" s="235" t="s">
        <v>113</v>
      </c>
      <c r="O28" s="235" t="s">
        <v>113</v>
      </c>
      <c r="P28" s="170" t="s">
        <v>113</v>
      </c>
      <c r="Q28" s="235" t="s">
        <v>113</v>
      </c>
      <c r="R28" s="235" t="s">
        <v>113</v>
      </c>
      <c r="S28" s="235" t="s">
        <v>113</v>
      </c>
      <c r="T28" s="170" t="s">
        <v>113</v>
      </c>
      <c r="U28" s="235" t="s">
        <v>113</v>
      </c>
      <c r="V28" s="235">
        <v>-1260</v>
      </c>
      <c r="W28" s="235" t="s">
        <v>113</v>
      </c>
      <c r="X28" s="170">
        <v>-1263</v>
      </c>
      <c r="Y28" s="235" t="s">
        <v>113</v>
      </c>
      <c r="Z28" s="235">
        <v>-1445</v>
      </c>
      <c r="AA28" s="235" t="s">
        <v>113</v>
      </c>
      <c r="AB28" s="170">
        <v>-1447</v>
      </c>
      <c r="AC28" s="235" t="s">
        <v>113</v>
      </c>
      <c r="AD28" s="235">
        <v>-1508</v>
      </c>
      <c r="AE28" s="235" t="s">
        <v>113</v>
      </c>
      <c r="AF28" s="170">
        <v>-1508</v>
      </c>
      <c r="AG28" s="235" t="s">
        <v>113</v>
      </c>
      <c r="AH28" s="235">
        <v>-1810</v>
      </c>
      <c r="AI28" s="235" t="s">
        <v>113</v>
      </c>
      <c r="AJ28" s="170">
        <v>-1809</v>
      </c>
      <c r="AK28" s="235" t="s">
        <v>113</v>
      </c>
      <c r="AL28" s="235">
        <v>-2051</v>
      </c>
      <c r="AM28" s="235" t="s">
        <v>113</v>
      </c>
      <c r="AN28" s="170">
        <v>-2052</v>
      </c>
      <c r="AO28" s="235" t="s">
        <v>113</v>
      </c>
      <c r="AP28" s="235">
        <v>-2295</v>
      </c>
      <c r="AQ28" s="235" t="s">
        <v>113</v>
      </c>
      <c r="AR28" s="170">
        <v>-2296</v>
      </c>
      <c r="AS28" s="235" t="s">
        <v>113</v>
      </c>
      <c r="AT28" s="235">
        <v>-2296</v>
      </c>
    </row>
    <row r="29" spans="1:46">
      <c r="A29" s="160" t="s">
        <v>49</v>
      </c>
      <c r="B29" s="235" t="s">
        <v>113</v>
      </c>
      <c r="C29" s="235" t="s">
        <v>113</v>
      </c>
      <c r="D29" s="235" t="s">
        <v>113</v>
      </c>
      <c r="E29" s="235" t="s">
        <v>113</v>
      </c>
      <c r="F29" s="235">
        <v>-8</v>
      </c>
      <c r="G29" s="235">
        <v>-9</v>
      </c>
      <c r="H29" s="235">
        <v>-7</v>
      </c>
      <c r="I29" s="235">
        <v>-2</v>
      </c>
      <c r="J29" s="235">
        <v>-3</v>
      </c>
      <c r="K29" s="235">
        <v>-2</v>
      </c>
      <c r="M29" s="235" t="s">
        <v>113</v>
      </c>
      <c r="N29" s="235" t="s">
        <v>113</v>
      </c>
      <c r="O29" s="235" t="s">
        <v>113</v>
      </c>
      <c r="P29" s="170" t="s">
        <v>113</v>
      </c>
      <c r="Q29" s="235" t="s">
        <v>113</v>
      </c>
      <c r="R29" s="235" t="s">
        <v>113</v>
      </c>
      <c r="S29" s="235" t="s">
        <v>113</v>
      </c>
      <c r="T29" s="170" t="s">
        <v>113</v>
      </c>
      <c r="U29" s="235" t="s">
        <v>113</v>
      </c>
      <c r="V29" s="235">
        <v>-7</v>
      </c>
      <c r="W29" s="235">
        <v>-1</v>
      </c>
      <c r="X29" s="170" t="s">
        <v>113</v>
      </c>
      <c r="Y29" s="235">
        <v>-1</v>
      </c>
      <c r="Z29" s="235">
        <v>0</v>
      </c>
      <c r="AA29" s="235">
        <v>-8</v>
      </c>
      <c r="AB29" s="170">
        <v>0</v>
      </c>
      <c r="AC29" s="235" t="s">
        <v>113</v>
      </c>
      <c r="AD29" s="235">
        <v>-1</v>
      </c>
      <c r="AE29" s="235" t="s">
        <v>113</v>
      </c>
      <c r="AF29" s="170">
        <v>-6</v>
      </c>
      <c r="AG29" s="235" t="s">
        <v>113</v>
      </c>
      <c r="AH29" s="235">
        <v>-1</v>
      </c>
      <c r="AI29" s="235" t="s">
        <v>113</v>
      </c>
      <c r="AJ29" s="170">
        <v>-1</v>
      </c>
      <c r="AK29" s="235" t="s">
        <v>113</v>
      </c>
      <c r="AL29" s="235">
        <v>-1</v>
      </c>
      <c r="AM29" s="235">
        <v>-1</v>
      </c>
      <c r="AN29" s="170">
        <v>-1</v>
      </c>
      <c r="AO29" s="235" t="s">
        <v>113</v>
      </c>
      <c r="AP29" s="235">
        <v>-1</v>
      </c>
      <c r="AQ29" s="235">
        <v>-1</v>
      </c>
      <c r="AR29" s="170" t="s">
        <v>113</v>
      </c>
      <c r="AS29" s="235">
        <v>-14</v>
      </c>
      <c r="AT29" s="235" t="s">
        <v>113</v>
      </c>
    </row>
    <row r="30" spans="1:46">
      <c r="A30" s="160" t="s">
        <v>89</v>
      </c>
      <c r="B30" s="234">
        <v>-299</v>
      </c>
      <c r="C30" s="234">
        <v>-380</v>
      </c>
      <c r="D30" s="97">
        <v>-5178</v>
      </c>
      <c r="E30" s="235" t="s">
        <v>113</v>
      </c>
      <c r="F30" s="235" t="s">
        <v>113</v>
      </c>
      <c r="G30" s="235">
        <v>0</v>
      </c>
      <c r="H30" s="235" t="s">
        <v>113</v>
      </c>
      <c r="I30" s="235" t="s">
        <v>113</v>
      </c>
      <c r="J30" s="235" t="s">
        <v>113</v>
      </c>
      <c r="K30" s="235" t="s">
        <v>113</v>
      </c>
      <c r="M30" s="235" t="s">
        <v>113</v>
      </c>
      <c r="N30" s="235">
        <v>-229</v>
      </c>
      <c r="O30" s="235">
        <v>-3727</v>
      </c>
      <c r="P30" s="93">
        <v>-1222</v>
      </c>
      <c r="Q30" s="235" t="s">
        <v>113</v>
      </c>
      <c r="R30" s="235" t="s">
        <v>113</v>
      </c>
      <c r="S30" s="235" t="s">
        <v>113</v>
      </c>
      <c r="T30" s="170" t="s">
        <v>113</v>
      </c>
      <c r="U30" s="235" t="s">
        <v>113</v>
      </c>
      <c r="V30" s="235" t="s">
        <v>113</v>
      </c>
      <c r="W30" s="235" t="s">
        <v>113</v>
      </c>
      <c r="X30" s="170" t="s">
        <v>113</v>
      </c>
      <c r="Y30" s="235" t="s">
        <v>113</v>
      </c>
      <c r="Z30" s="235" t="s">
        <v>113</v>
      </c>
      <c r="AA30" s="235" t="s">
        <v>113</v>
      </c>
      <c r="AB30" s="170" t="s">
        <v>113</v>
      </c>
      <c r="AC30" s="235" t="s">
        <v>113</v>
      </c>
      <c r="AD30" s="235" t="s">
        <v>113</v>
      </c>
      <c r="AE30" s="235" t="s">
        <v>113</v>
      </c>
      <c r="AF30" s="170" t="s">
        <v>113</v>
      </c>
      <c r="AG30" s="235" t="s">
        <v>113</v>
      </c>
      <c r="AH30" s="235" t="s">
        <v>113</v>
      </c>
      <c r="AI30" s="235" t="s">
        <v>113</v>
      </c>
      <c r="AJ30" s="170" t="s">
        <v>113</v>
      </c>
      <c r="AK30" s="235" t="s">
        <v>113</v>
      </c>
      <c r="AL30" s="235" t="s">
        <v>113</v>
      </c>
      <c r="AM30" s="235" t="s">
        <v>113</v>
      </c>
      <c r="AN30" s="170" t="s">
        <v>113</v>
      </c>
      <c r="AO30" s="235" t="s">
        <v>113</v>
      </c>
      <c r="AP30" s="235" t="s">
        <v>113</v>
      </c>
      <c r="AQ30" s="235" t="s">
        <v>113</v>
      </c>
      <c r="AR30" s="170" t="s">
        <v>113</v>
      </c>
      <c r="AS30" s="235" t="s">
        <v>113</v>
      </c>
      <c r="AT30" s="235" t="s">
        <v>113</v>
      </c>
    </row>
    <row r="31" spans="1:46">
      <c r="A31" s="160" t="s">
        <v>50</v>
      </c>
      <c r="B31" s="237" t="s">
        <v>113</v>
      </c>
      <c r="C31" s="234">
        <v>-91</v>
      </c>
      <c r="D31" s="97">
        <v>6</v>
      </c>
      <c r="E31" s="235" t="s">
        <v>113</v>
      </c>
      <c r="F31" s="235" t="s">
        <v>113</v>
      </c>
      <c r="G31" s="235">
        <v>0</v>
      </c>
      <c r="H31" s="235" t="s">
        <v>113</v>
      </c>
      <c r="I31" s="235">
        <v>-175</v>
      </c>
      <c r="J31" s="235">
        <v>-105</v>
      </c>
      <c r="K31" s="235" t="s">
        <v>113</v>
      </c>
      <c r="M31" s="235">
        <v>6</v>
      </c>
      <c r="N31" s="237" t="s">
        <v>113</v>
      </c>
      <c r="O31" s="237" t="s">
        <v>113</v>
      </c>
      <c r="P31" s="174" t="s">
        <v>113</v>
      </c>
      <c r="Q31" s="235" t="s">
        <v>113</v>
      </c>
      <c r="R31" s="235" t="s">
        <v>113</v>
      </c>
      <c r="S31" s="235" t="s">
        <v>113</v>
      </c>
      <c r="T31" s="170" t="s">
        <v>113</v>
      </c>
      <c r="U31" s="235" t="s">
        <v>113</v>
      </c>
      <c r="V31" s="235" t="s">
        <v>113</v>
      </c>
      <c r="W31" s="235" t="s">
        <v>113</v>
      </c>
      <c r="X31" s="170" t="s">
        <v>113</v>
      </c>
      <c r="Y31" s="235" t="s">
        <v>113</v>
      </c>
      <c r="Z31" s="235" t="s">
        <v>113</v>
      </c>
      <c r="AA31" s="235" t="s">
        <v>113</v>
      </c>
      <c r="AB31" s="170" t="s">
        <v>113</v>
      </c>
      <c r="AC31" s="235" t="s">
        <v>113</v>
      </c>
      <c r="AD31" s="235" t="s">
        <v>113</v>
      </c>
      <c r="AE31" s="235" t="s">
        <v>113</v>
      </c>
      <c r="AF31" s="170" t="s">
        <v>113</v>
      </c>
      <c r="AG31" s="235" t="s">
        <v>113</v>
      </c>
      <c r="AH31" s="235" t="s">
        <v>113</v>
      </c>
      <c r="AI31" s="235">
        <v>-175</v>
      </c>
      <c r="AJ31" s="170" t="s">
        <v>113</v>
      </c>
      <c r="AK31" s="235" t="s">
        <v>113</v>
      </c>
      <c r="AL31" s="235" t="s">
        <v>113</v>
      </c>
      <c r="AM31" s="235" t="s">
        <v>113</v>
      </c>
      <c r="AN31" s="170">
        <v>-105</v>
      </c>
      <c r="AO31" s="235" t="s">
        <v>113</v>
      </c>
      <c r="AP31" s="235" t="s">
        <v>113</v>
      </c>
      <c r="AQ31" s="235" t="s">
        <v>113</v>
      </c>
      <c r="AR31" s="170" t="s">
        <v>113</v>
      </c>
      <c r="AS31" s="235" t="s">
        <v>113</v>
      </c>
      <c r="AT31" s="235">
        <v>-355</v>
      </c>
    </row>
    <row r="32" spans="1:46">
      <c r="A32" s="160" t="s">
        <v>364</v>
      </c>
      <c r="B32" s="237" t="s">
        <v>113</v>
      </c>
      <c r="C32" s="237" t="s">
        <v>113</v>
      </c>
      <c r="D32" s="237" t="s">
        <v>113</v>
      </c>
      <c r="E32" s="237" t="s">
        <v>113</v>
      </c>
      <c r="F32" s="237" t="s">
        <v>113</v>
      </c>
      <c r="G32" s="237" t="s">
        <v>113</v>
      </c>
      <c r="H32" s="237">
        <v>-3619</v>
      </c>
      <c r="I32" s="237" t="s">
        <v>113</v>
      </c>
      <c r="J32" s="237" t="s">
        <v>113</v>
      </c>
      <c r="K32" s="237" t="s">
        <v>113</v>
      </c>
      <c r="M32" s="237" t="s">
        <v>113</v>
      </c>
      <c r="N32" s="237" t="s">
        <v>113</v>
      </c>
      <c r="O32" s="237" t="s">
        <v>113</v>
      </c>
      <c r="P32" s="174" t="s">
        <v>113</v>
      </c>
      <c r="Q32" s="235" t="s">
        <v>113</v>
      </c>
      <c r="R32" s="235" t="s">
        <v>113</v>
      </c>
      <c r="S32" s="235" t="s">
        <v>113</v>
      </c>
      <c r="T32" s="170" t="s">
        <v>113</v>
      </c>
      <c r="U32" s="235" t="s">
        <v>113</v>
      </c>
      <c r="V32" s="235" t="s">
        <v>113</v>
      </c>
      <c r="W32" s="235" t="s">
        <v>113</v>
      </c>
      <c r="X32" s="170" t="s">
        <v>113</v>
      </c>
      <c r="Y32" s="235" t="s">
        <v>113</v>
      </c>
      <c r="Z32" s="235" t="s">
        <v>113</v>
      </c>
      <c r="AA32" s="235" t="s">
        <v>113</v>
      </c>
      <c r="AB32" s="170" t="s">
        <v>113</v>
      </c>
      <c r="AC32" s="235" t="s">
        <v>113</v>
      </c>
      <c r="AD32" s="235">
        <v>-3619</v>
      </c>
      <c r="AE32" s="235" t="s">
        <v>113</v>
      </c>
      <c r="AF32" s="170" t="s">
        <v>113</v>
      </c>
      <c r="AG32" s="235" t="s">
        <v>113</v>
      </c>
      <c r="AH32" s="235" t="s">
        <v>113</v>
      </c>
      <c r="AI32" s="235" t="s">
        <v>113</v>
      </c>
      <c r="AJ32" s="170" t="s">
        <v>113</v>
      </c>
      <c r="AK32" s="235" t="s">
        <v>113</v>
      </c>
      <c r="AL32" s="235" t="s">
        <v>113</v>
      </c>
      <c r="AM32" s="235" t="s">
        <v>113</v>
      </c>
      <c r="AN32" s="170" t="s">
        <v>113</v>
      </c>
      <c r="AO32" s="235" t="s">
        <v>113</v>
      </c>
      <c r="AP32" s="235" t="s">
        <v>113</v>
      </c>
      <c r="AQ32" s="235" t="s">
        <v>113</v>
      </c>
      <c r="AR32" s="170" t="s">
        <v>113</v>
      </c>
      <c r="AS32" s="235" t="s">
        <v>113</v>
      </c>
      <c r="AT32" s="235" t="s">
        <v>113</v>
      </c>
    </row>
    <row r="33" spans="1:47">
      <c r="A33" s="160" t="s">
        <v>1272</v>
      </c>
      <c r="B33" s="237" t="s">
        <v>113</v>
      </c>
      <c r="C33" s="237" t="s">
        <v>113</v>
      </c>
      <c r="D33" s="237" t="s">
        <v>113</v>
      </c>
      <c r="E33" s="237">
        <v>-1307</v>
      </c>
      <c r="F33" s="237">
        <v>340</v>
      </c>
      <c r="G33" s="237">
        <v>370</v>
      </c>
      <c r="H33" s="237">
        <v>64</v>
      </c>
      <c r="I33" s="237">
        <v>-116</v>
      </c>
      <c r="J33" s="237">
        <v>279</v>
      </c>
      <c r="K33" s="237">
        <v>290</v>
      </c>
      <c r="M33" s="237" t="s">
        <v>113</v>
      </c>
      <c r="N33" s="237" t="s">
        <v>113</v>
      </c>
      <c r="O33" s="237" t="s">
        <v>113</v>
      </c>
      <c r="P33" s="174" t="s">
        <v>113</v>
      </c>
      <c r="Q33" s="237" t="s">
        <v>113</v>
      </c>
      <c r="R33" s="237" t="s">
        <v>113</v>
      </c>
      <c r="S33" s="97">
        <v>-1100</v>
      </c>
      <c r="T33" s="93">
        <v>-207</v>
      </c>
      <c r="U33" s="237">
        <v>-33</v>
      </c>
      <c r="V33" s="237">
        <v>80</v>
      </c>
      <c r="W33" s="237">
        <v>248</v>
      </c>
      <c r="X33" s="174">
        <v>45</v>
      </c>
      <c r="Y33" s="237">
        <v>96</v>
      </c>
      <c r="Z33" s="237">
        <v>43</v>
      </c>
      <c r="AA33" s="237">
        <v>180</v>
      </c>
      <c r="AB33" s="174">
        <v>51</v>
      </c>
      <c r="AC33" s="237">
        <v>44</v>
      </c>
      <c r="AD33" s="237">
        <v>79</v>
      </c>
      <c r="AE33" s="237">
        <v>-61</v>
      </c>
      <c r="AF33" s="174">
        <v>2</v>
      </c>
      <c r="AG33" s="237">
        <v>27</v>
      </c>
      <c r="AH33" s="237">
        <v>49</v>
      </c>
      <c r="AI33" s="237">
        <v>-74</v>
      </c>
      <c r="AJ33" s="174">
        <v>-118</v>
      </c>
      <c r="AK33" s="237">
        <v>160</v>
      </c>
      <c r="AL33" s="237">
        <v>49</v>
      </c>
      <c r="AM33" s="237">
        <v>45</v>
      </c>
      <c r="AN33" s="174">
        <v>25</v>
      </c>
      <c r="AO33" s="237">
        <v>120</v>
      </c>
      <c r="AP33" s="237">
        <v>111</v>
      </c>
      <c r="AQ33" s="237">
        <v>26</v>
      </c>
      <c r="AR33" s="174">
        <v>33</v>
      </c>
      <c r="AS33" s="237">
        <v>104</v>
      </c>
      <c r="AT33" s="237">
        <v>27</v>
      </c>
    </row>
    <row r="34" spans="1:47">
      <c r="A34" s="160" t="s">
        <v>51</v>
      </c>
      <c r="B34" s="161">
        <v>433</v>
      </c>
      <c r="C34" s="161">
        <v>510</v>
      </c>
      <c r="D34" s="97">
        <v>-889</v>
      </c>
      <c r="E34" s="97">
        <v>2367</v>
      </c>
      <c r="F34" s="97">
        <v>-820</v>
      </c>
      <c r="G34" s="97">
        <v>1541</v>
      </c>
      <c r="H34" s="97">
        <v>-1858</v>
      </c>
      <c r="I34" s="97">
        <v>686</v>
      </c>
      <c r="J34" s="97">
        <v>1291</v>
      </c>
      <c r="K34" s="97">
        <v>6202</v>
      </c>
      <c r="M34" s="161">
        <v>-2854</v>
      </c>
      <c r="N34" s="235">
        <v>1612</v>
      </c>
      <c r="O34" s="235">
        <v>297</v>
      </c>
      <c r="P34" s="93">
        <v>56</v>
      </c>
      <c r="Q34" s="97">
        <v>275</v>
      </c>
      <c r="R34" s="97">
        <v>2294</v>
      </c>
      <c r="S34" s="97">
        <v>-92</v>
      </c>
      <c r="T34" s="93">
        <v>-110</v>
      </c>
      <c r="U34" s="97">
        <v>-326</v>
      </c>
      <c r="V34" s="97">
        <v>-161</v>
      </c>
      <c r="W34" s="97">
        <v>-152</v>
      </c>
      <c r="X34" s="93">
        <v>-181</v>
      </c>
      <c r="Y34" s="97">
        <v>1</v>
      </c>
      <c r="Z34" s="97">
        <v>2031</v>
      </c>
      <c r="AA34" s="97">
        <v>-508</v>
      </c>
      <c r="AB34" s="93">
        <v>18</v>
      </c>
      <c r="AC34" s="97">
        <v>-457</v>
      </c>
      <c r="AD34" s="97">
        <v>-136</v>
      </c>
      <c r="AE34" s="97">
        <v>-116</v>
      </c>
      <c r="AF34" s="93">
        <v>-1149</v>
      </c>
      <c r="AG34" s="97">
        <v>-77</v>
      </c>
      <c r="AH34" s="97">
        <v>-139</v>
      </c>
      <c r="AI34" s="97">
        <v>672</v>
      </c>
      <c r="AJ34" s="93">
        <v>230</v>
      </c>
      <c r="AK34" s="97">
        <v>146</v>
      </c>
      <c r="AL34" s="97">
        <v>1357</v>
      </c>
      <c r="AM34" s="97">
        <v>-149</v>
      </c>
      <c r="AN34" s="93">
        <v>-63</v>
      </c>
      <c r="AO34" s="97">
        <v>5331</v>
      </c>
      <c r="AP34" s="235">
        <v>2000</v>
      </c>
      <c r="AQ34" s="235">
        <v>-141</v>
      </c>
      <c r="AR34" s="93">
        <v>-988</v>
      </c>
      <c r="AS34" s="97">
        <v>-181</v>
      </c>
      <c r="AT34" s="235">
        <v>-168</v>
      </c>
    </row>
    <row r="35" spans="1:47" ht="10.5">
      <c r="A35" s="164" t="s">
        <v>52</v>
      </c>
      <c r="B35" s="232">
        <v>134</v>
      </c>
      <c r="C35" s="232">
        <v>39</v>
      </c>
      <c r="D35" s="236">
        <v>-6061</v>
      </c>
      <c r="E35" s="236">
        <v>1060</v>
      </c>
      <c r="F35" s="236">
        <v>-3011</v>
      </c>
      <c r="G35" s="236">
        <v>-990</v>
      </c>
      <c r="H35" s="236">
        <v>-8436</v>
      </c>
      <c r="I35" s="236">
        <v>-3226</v>
      </c>
      <c r="J35" s="236">
        <v>-2641</v>
      </c>
      <c r="K35" s="236">
        <v>1899</v>
      </c>
      <c r="M35" s="232">
        <v>-2848</v>
      </c>
      <c r="N35" s="236">
        <v>1383</v>
      </c>
      <c r="O35" s="236">
        <v>-3430</v>
      </c>
      <c r="P35" s="172">
        <v>-1166</v>
      </c>
      <c r="Q35" s="236">
        <v>275</v>
      </c>
      <c r="R35" s="236">
        <v>2294</v>
      </c>
      <c r="S35" s="236">
        <v>-1192</v>
      </c>
      <c r="T35" s="172">
        <v>-317</v>
      </c>
      <c r="U35" s="236">
        <v>-359</v>
      </c>
      <c r="V35" s="236">
        <v>-1348</v>
      </c>
      <c r="W35" s="236">
        <v>95</v>
      </c>
      <c r="X35" s="172">
        <v>-1399</v>
      </c>
      <c r="Y35" s="236">
        <v>96</v>
      </c>
      <c r="Z35" s="236">
        <v>629</v>
      </c>
      <c r="AA35" s="236">
        <v>-336</v>
      </c>
      <c r="AB35" s="172">
        <v>-1379</v>
      </c>
      <c r="AC35" s="236">
        <v>-413</v>
      </c>
      <c r="AD35" s="236">
        <v>-5185</v>
      </c>
      <c r="AE35" s="236">
        <v>-177</v>
      </c>
      <c r="AF35" s="172">
        <v>-2661</v>
      </c>
      <c r="AG35" s="236">
        <v>-50</v>
      </c>
      <c r="AH35" s="236">
        <v>-1901</v>
      </c>
      <c r="AI35" s="236">
        <v>423</v>
      </c>
      <c r="AJ35" s="172">
        <v>-1698</v>
      </c>
      <c r="AK35" s="236">
        <v>306</v>
      </c>
      <c r="AL35" s="236">
        <v>-646</v>
      </c>
      <c r="AM35" s="236">
        <v>-105</v>
      </c>
      <c r="AN35" s="172">
        <v>-2196</v>
      </c>
      <c r="AO35" s="236">
        <v>5451</v>
      </c>
      <c r="AP35" s="236">
        <v>-185</v>
      </c>
      <c r="AQ35" s="236">
        <v>-116</v>
      </c>
      <c r="AR35" s="172">
        <v>-3251</v>
      </c>
      <c r="AS35" s="236">
        <v>-91</v>
      </c>
      <c r="AT35" s="236">
        <v>-2792</v>
      </c>
    </row>
    <row r="36" spans="1:47" s="66" customFormat="1" ht="10.5">
      <c r="A36" s="166"/>
      <c r="B36" s="233"/>
      <c r="C36" s="233"/>
      <c r="D36" s="238"/>
      <c r="E36" s="238"/>
      <c r="F36" s="238"/>
      <c r="G36" s="238"/>
      <c r="H36" s="238"/>
      <c r="I36" s="238"/>
      <c r="J36" s="238"/>
      <c r="K36" s="238"/>
      <c r="L36" s="1"/>
      <c r="M36" s="233"/>
      <c r="N36" s="238"/>
      <c r="O36" s="238"/>
      <c r="P36" s="173"/>
      <c r="Q36" s="238"/>
      <c r="R36" s="238"/>
      <c r="S36" s="238"/>
      <c r="T36" s="173"/>
      <c r="U36" s="238"/>
      <c r="V36" s="238"/>
      <c r="W36" s="238"/>
      <c r="X36" s="173"/>
      <c r="Y36" s="238"/>
      <c r="Z36" s="238"/>
      <c r="AA36" s="238"/>
      <c r="AB36" s="173"/>
      <c r="AC36" s="238"/>
      <c r="AD36" s="238"/>
      <c r="AE36" s="238"/>
      <c r="AF36" s="173"/>
      <c r="AG36" s="238"/>
      <c r="AH36" s="238"/>
      <c r="AI36" s="238"/>
      <c r="AJ36" s="173"/>
      <c r="AK36" s="238"/>
      <c r="AL36" s="238"/>
      <c r="AM36" s="238"/>
      <c r="AN36" s="173"/>
      <c r="AO36" s="238"/>
      <c r="AP36" s="238"/>
      <c r="AQ36" s="238"/>
      <c r="AR36" s="173"/>
      <c r="AS36" s="238"/>
      <c r="AT36" s="238"/>
    </row>
    <row r="37" spans="1:47" ht="10.5">
      <c r="A37" s="164" t="s">
        <v>53</v>
      </c>
      <c r="B37" s="232">
        <v>2817</v>
      </c>
      <c r="C37" s="232">
        <v>3636</v>
      </c>
      <c r="D37" s="232">
        <v>4658</v>
      </c>
      <c r="E37" s="232">
        <v>4047</v>
      </c>
      <c r="F37" s="232">
        <v>2562</v>
      </c>
      <c r="G37" s="232">
        <v>6736</v>
      </c>
      <c r="H37" s="232">
        <v>-4302</v>
      </c>
      <c r="I37" s="232">
        <v>-3659</v>
      </c>
      <c r="J37" s="232">
        <v>-735.27075806350012</v>
      </c>
      <c r="K37" s="232">
        <v>669</v>
      </c>
      <c r="M37" s="232">
        <v>-441</v>
      </c>
      <c r="N37" s="232">
        <v>1597</v>
      </c>
      <c r="O37" s="232">
        <v>790</v>
      </c>
      <c r="P37" s="165">
        <v>2712</v>
      </c>
      <c r="Q37" s="232">
        <v>413</v>
      </c>
      <c r="R37" s="232">
        <v>1915</v>
      </c>
      <c r="S37" s="232">
        <v>-210</v>
      </c>
      <c r="T37" s="165">
        <v>1929</v>
      </c>
      <c r="U37" s="232">
        <v>-598</v>
      </c>
      <c r="V37" s="232">
        <v>-501</v>
      </c>
      <c r="W37" s="232">
        <v>1876</v>
      </c>
      <c r="X37" s="165">
        <v>1785</v>
      </c>
      <c r="Y37" s="232">
        <v>1677</v>
      </c>
      <c r="Z37" s="232">
        <v>2893</v>
      </c>
      <c r="AA37" s="232">
        <v>1300</v>
      </c>
      <c r="AB37" s="165">
        <v>866</v>
      </c>
      <c r="AC37" s="232">
        <v>1077</v>
      </c>
      <c r="AD37" s="232">
        <v>-5249</v>
      </c>
      <c r="AE37" s="232">
        <v>839</v>
      </c>
      <c r="AF37" s="165">
        <v>-969</v>
      </c>
      <c r="AG37" s="232">
        <v>347</v>
      </c>
      <c r="AH37" s="232">
        <v>-1124</v>
      </c>
      <c r="AI37" s="232">
        <v>1500</v>
      </c>
      <c r="AJ37" s="165">
        <v>-4382</v>
      </c>
      <c r="AK37" s="232">
        <v>-2694</v>
      </c>
      <c r="AL37" s="232">
        <v>274</v>
      </c>
      <c r="AM37" s="232">
        <v>1441</v>
      </c>
      <c r="AN37" s="165">
        <v>244</v>
      </c>
      <c r="AO37" s="232">
        <v>7344</v>
      </c>
      <c r="AP37" s="232">
        <v>-7277</v>
      </c>
      <c r="AQ37" s="232">
        <v>655</v>
      </c>
      <c r="AR37" s="165">
        <v>-53</v>
      </c>
      <c r="AS37" s="232">
        <v>2216</v>
      </c>
      <c r="AT37" s="232">
        <v>-1362</v>
      </c>
      <c r="AU37" s="97"/>
    </row>
    <row r="38" spans="1:47">
      <c r="A38" s="160" t="s">
        <v>54</v>
      </c>
      <c r="B38" s="161">
        <v>530</v>
      </c>
      <c r="C38" s="161">
        <v>461</v>
      </c>
      <c r="D38" s="97">
        <v>481</v>
      </c>
      <c r="E38" s="97">
        <v>1808</v>
      </c>
      <c r="F38" s="97">
        <v>5872</v>
      </c>
      <c r="G38" s="97">
        <v>8540</v>
      </c>
      <c r="H38" s="97">
        <v>15053</v>
      </c>
      <c r="I38" s="97">
        <v>10792</v>
      </c>
      <c r="J38" s="97">
        <v>7326</v>
      </c>
      <c r="K38" s="97">
        <v>6401</v>
      </c>
      <c r="M38" s="161">
        <v>481</v>
      </c>
      <c r="N38" s="235">
        <v>615</v>
      </c>
      <c r="O38" s="235">
        <v>610</v>
      </c>
      <c r="P38" s="93">
        <v>728</v>
      </c>
      <c r="Q38" s="97">
        <v>1808</v>
      </c>
      <c r="R38" s="97">
        <v>2255</v>
      </c>
      <c r="S38" s="97">
        <v>4205</v>
      </c>
      <c r="T38" s="93">
        <v>3949</v>
      </c>
      <c r="U38" s="97">
        <v>5872</v>
      </c>
      <c r="V38" s="97">
        <v>5371</v>
      </c>
      <c r="W38" s="97">
        <v>4883</v>
      </c>
      <c r="X38" s="93">
        <v>6814</v>
      </c>
      <c r="Y38" s="97">
        <v>8540</v>
      </c>
      <c r="Z38" s="97">
        <v>10225</v>
      </c>
      <c r="AA38" s="97">
        <v>13005</v>
      </c>
      <c r="AB38" s="93">
        <v>14250</v>
      </c>
      <c r="AC38" s="97">
        <v>15053</v>
      </c>
      <c r="AD38" s="97">
        <v>16191</v>
      </c>
      <c r="AE38" s="97">
        <v>10931</v>
      </c>
      <c r="AF38" s="93">
        <v>11745</v>
      </c>
      <c r="AG38" s="97">
        <v>10792</v>
      </c>
      <c r="AH38" s="97">
        <v>11207</v>
      </c>
      <c r="AI38" s="97">
        <v>10380</v>
      </c>
      <c r="AJ38" s="93">
        <v>11879</v>
      </c>
      <c r="AK38" s="97">
        <v>7326</v>
      </c>
      <c r="AL38" s="97">
        <v>4587</v>
      </c>
      <c r="AM38" s="97">
        <v>4949</v>
      </c>
      <c r="AN38" s="93">
        <v>6330</v>
      </c>
      <c r="AO38" s="97">
        <v>6401</v>
      </c>
      <c r="AP38" s="97">
        <v>13879</v>
      </c>
      <c r="AQ38" s="97">
        <v>6598</v>
      </c>
      <c r="AR38" s="93">
        <v>7129</v>
      </c>
      <c r="AS38" s="97">
        <v>7179</v>
      </c>
      <c r="AT38" s="97">
        <v>9107</v>
      </c>
      <c r="AU38" s="97"/>
    </row>
    <row r="39" spans="1:47">
      <c r="A39" s="160" t="s">
        <v>55</v>
      </c>
      <c r="B39" s="161">
        <v>-27</v>
      </c>
      <c r="C39" s="161">
        <v>39</v>
      </c>
      <c r="D39" s="97">
        <v>-39</v>
      </c>
      <c r="E39" s="97">
        <v>17</v>
      </c>
      <c r="F39" s="97">
        <v>106</v>
      </c>
      <c r="G39" s="97">
        <v>-223</v>
      </c>
      <c r="H39" s="97">
        <v>41</v>
      </c>
      <c r="I39" s="97">
        <v>193</v>
      </c>
      <c r="J39" s="97">
        <v>-189.88724999999999</v>
      </c>
      <c r="K39" s="97">
        <v>109</v>
      </c>
      <c r="M39" s="161">
        <v>1</v>
      </c>
      <c r="N39" s="235">
        <v>-21</v>
      </c>
      <c r="O39" s="235">
        <v>-27</v>
      </c>
      <c r="P39" s="93">
        <v>8</v>
      </c>
      <c r="Q39" s="97">
        <v>34</v>
      </c>
      <c r="R39" s="97">
        <v>35</v>
      </c>
      <c r="S39" s="97">
        <v>-46</v>
      </c>
      <c r="T39" s="93">
        <v>-6</v>
      </c>
      <c r="U39" s="97">
        <v>97</v>
      </c>
      <c r="V39" s="97">
        <v>13</v>
      </c>
      <c r="W39" s="97">
        <v>55</v>
      </c>
      <c r="X39" s="93">
        <v>-59</v>
      </c>
      <c r="Y39" s="97">
        <v>8</v>
      </c>
      <c r="Z39" s="97">
        <v>-113</v>
      </c>
      <c r="AA39" s="97">
        <v>-55</v>
      </c>
      <c r="AB39" s="93">
        <v>-63</v>
      </c>
      <c r="AC39" s="97">
        <v>61</v>
      </c>
      <c r="AD39" s="97">
        <v>-11</v>
      </c>
      <c r="AE39" s="97">
        <v>-25</v>
      </c>
      <c r="AF39" s="93">
        <v>16</v>
      </c>
      <c r="AG39" s="97">
        <v>68</v>
      </c>
      <c r="AH39" s="97">
        <v>297</v>
      </c>
      <c r="AI39" s="97">
        <v>-1</v>
      </c>
      <c r="AJ39" s="93">
        <v>-171</v>
      </c>
      <c r="AK39" s="97">
        <v>-45</v>
      </c>
      <c r="AL39" s="97">
        <v>88</v>
      </c>
      <c r="AM39" s="97">
        <v>-60</v>
      </c>
      <c r="AN39" s="93">
        <v>-173</v>
      </c>
      <c r="AO39" s="97">
        <v>134</v>
      </c>
      <c r="AP39" s="97">
        <v>-4</v>
      </c>
      <c r="AQ39" s="97">
        <v>-124</v>
      </c>
      <c r="AR39" s="93">
        <v>103</v>
      </c>
      <c r="AS39" s="97">
        <v>-288</v>
      </c>
      <c r="AT39" s="97">
        <v>-86</v>
      </c>
      <c r="AU39" s="97"/>
    </row>
    <row r="40" spans="1:47">
      <c r="A40" s="160" t="s">
        <v>88</v>
      </c>
      <c r="B40" s="161">
        <v>-2859</v>
      </c>
      <c r="C40" s="161">
        <v>-3655</v>
      </c>
      <c r="D40" s="97">
        <v>-3292</v>
      </c>
      <c r="E40" s="235" t="s">
        <v>113</v>
      </c>
      <c r="F40" s="235" t="s">
        <v>113</v>
      </c>
      <c r="G40" s="235">
        <v>0</v>
      </c>
      <c r="H40" s="235">
        <v>0</v>
      </c>
      <c r="I40" s="235" t="s">
        <v>113</v>
      </c>
      <c r="J40" s="235" t="s">
        <v>113</v>
      </c>
      <c r="K40" s="235" t="s">
        <v>113</v>
      </c>
      <c r="M40" s="161">
        <v>574</v>
      </c>
      <c r="N40" s="235">
        <v>-1581</v>
      </c>
      <c r="O40" s="235">
        <v>-645</v>
      </c>
      <c r="P40" s="93">
        <v>-1640</v>
      </c>
      <c r="Q40" s="235" t="s">
        <v>113</v>
      </c>
      <c r="R40" s="235" t="s">
        <v>113</v>
      </c>
      <c r="S40" s="235" t="s">
        <v>113</v>
      </c>
      <c r="T40" s="170" t="s">
        <v>113</v>
      </c>
      <c r="U40" s="235" t="s">
        <v>113</v>
      </c>
      <c r="V40" s="235" t="s">
        <v>113</v>
      </c>
      <c r="W40" s="235" t="s">
        <v>113</v>
      </c>
      <c r="X40" s="170" t="s">
        <v>113</v>
      </c>
      <c r="Y40" s="235" t="s">
        <v>113</v>
      </c>
      <c r="Z40" s="235" t="s">
        <v>113</v>
      </c>
      <c r="AA40" s="235" t="s">
        <v>113</v>
      </c>
      <c r="AB40" s="397" t="s">
        <v>113</v>
      </c>
      <c r="AC40" s="235" t="s">
        <v>113</v>
      </c>
      <c r="AD40" s="235" t="s">
        <v>113</v>
      </c>
      <c r="AE40" s="235" t="s">
        <v>113</v>
      </c>
      <c r="AF40" s="397" t="s">
        <v>113</v>
      </c>
      <c r="AG40" s="235" t="s">
        <v>113</v>
      </c>
      <c r="AH40" s="235" t="s">
        <v>113</v>
      </c>
      <c r="AI40" s="235" t="s">
        <v>113</v>
      </c>
      <c r="AJ40" s="397" t="s">
        <v>113</v>
      </c>
      <c r="AK40" s="235" t="s">
        <v>113</v>
      </c>
      <c r="AL40" s="235" t="s">
        <v>113</v>
      </c>
      <c r="AM40" s="235" t="s">
        <v>113</v>
      </c>
      <c r="AN40" s="397" t="s">
        <v>113</v>
      </c>
      <c r="AO40" s="235" t="s">
        <v>113</v>
      </c>
      <c r="AP40" s="235" t="s">
        <v>113</v>
      </c>
      <c r="AQ40" s="235" t="s">
        <v>113</v>
      </c>
      <c r="AR40" s="170" t="s">
        <v>113</v>
      </c>
      <c r="AS40" s="235" t="s">
        <v>113</v>
      </c>
      <c r="AT40" s="235">
        <v>0</v>
      </c>
    </row>
    <row r="41" spans="1:47" ht="10.5">
      <c r="A41" s="164" t="s">
        <v>56</v>
      </c>
      <c r="B41" s="232">
        <v>461</v>
      </c>
      <c r="C41" s="232">
        <v>481</v>
      </c>
      <c r="D41" s="236">
        <v>1808</v>
      </c>
      <c r="E41" s="236">
        <v>5872</v>
      </c>
      <c r="F41" s="236">
        <v>8540</v>
      </c>
      <c r="G41" s="236">
        <v>15053</v>
      </c>
      <c r="H41" s="236">
        <v>10792</v>
      </c>
      <c r="I41" s="236">
        <v>7326</v>
      </c>
      <c r="J41" s="236">
        <v>6400.7292419365003</v>
      </c>
      <c r="K41" s="236">
        <v>7179</v>
      </c>
      <c r="M41" s="232">
        <v>615</v>
      </c>
      <c r="N41" s="236">
        <v>610</v>
      </c>
      <c r="O41" s="236">
        <v>728</v>
      </c>
      <c r="P41" s="172">
        <v>1808</v>
      </c>
      <c r="Q41" s="236">
        <v>2255</v>
      </c>
      <c r="R41" s="236">
        <v>4205</v>
      </c>
      <c r="S41" s="236">
        <v>3949</v>
      </c>
      <c r="T41" s="172">
        <v>5872</v>
      </c>
      <c r="U41" s="236">
        <v>5371</v>
      </c>
      <c r="V41" s="236">
        <v>4883</v>
      </c>
      <c r="W41" s="236">
        <v>6814</v>
      </c>
      <c r="X41" s="172">
        <v>8540</v>
      </c>
      <c r="Y41" s="236">
        <v>10225</v>
      </c>
      <c r="Z41" s="236">
        <v>13005</v>
      </c>
      <c r="AA41" s="236">
        <v>14250</v>
      </c>
      <c r="AB41" s="172">
        <v>15053</v>
      </c>
      <c r="AC41" s="236">
        <v>16191</v>
      </c>
      <c r="AD41" s="236">
        <v>10931</v>
      </c>
      <c r="AE41" s="236">
        <v>11745</v>
      </c>
      <c r="AF41" s="172">
        <v>10792</v>
      </c>
      <c r="AG41" s="236">
        <v>11207</v>
      </c>
      <c r="AH41" s="236">
        <v>10380</v>
      </c>
      <c r="AI41" s="236">
        <v>11879</v>
      </c>
      <c r="AJ41" s="172">
        <v>7326</v>
      </c>
      <c r="AK41" s="236">
        <v>4587</v>
      </c>
      <c r="AL41" s="236">
        <v>4949</v>
      </c>
      <c r="AM41" s="236">
        <v>6330</v>
      </c>
      <c r="AN41" s="172">
        <v>6401</v>
      </c>
      <c r="AO41" s="236">
        <v>13879</v>
      </c>
      <c r="AP41" s="236">
        <v>6598</v>
      </c>
      <c r="AQ41" s="236">
        <v>7129</v>
      </c>
      <c r="AR41" s="172">
        <v>7179</v>
      </c>
      <c r="AS41" s="236">
        <v>9107</v>
      </c>
      <c r="AT41" s="236">
        <v>7659</v>
      </c>
      <c r="AU41" s="97"/>
    </row>
    <row r="42" spans="1:47">
      <c r="A42" s="160"/>
      <c r="B42" s="161"/>
      <c r="C42" s="161"/>
      <c r="D42" s="97"/>
      <c r="E42" s="97"/>
      <c r="F42" s="97"/>
      <c r="G42" s="97"/>
      <c r="H42" s="97"/>
      <c r="I42" s="97"/>
      <c r="J42" s="97"/>
      <c r="K42" s="97"/>
      <c r="M42" s="161"/>
      <c r="N42" s="235"/>
      <c r="O42" s="235"/>
      <c r="P42" s="175"/>
      <c r="Q42" s="97"/>
      <c r="R42" s="97"/>
      <c r="S42" s="97"/>
      <c r="T42" s="93"/>
      <c r="U42" s="97"/>
      <c r="V42" s="97"/>
      <c r="W42" s="97"/>
      <c r="X42" s="93"/>
      <c r="Y42" s="97"/>
      <c r="Z42" s="97"/>
      <c r="AA42" s="97"/>
      <c r="AB42" s="93"/>
      <c r="AC42" s="97"/>
      <c r="AD42" s="97"/>
      <c r="AE42" s="97"/>
      <c r="AF42" s="93"/>
      <c r="AG42" s="97"/>
      <c r="AH42" s="97"/>
      <c r="AI42" s="97"/>
      <c r="AJ42" s="93"/>
      <c r="AK42" s="97"/>
      <c r="AL42" s="97"/>
      <c r="AM42" s="97"/>
      <c r="AN42" s="93"/>
      <c r="AO42" s="97"/>
      <c r="AP42" s="97"/>
      <c r="AQ42" s="97"/>
      <c r="AR42" s="93"/>
      <c r="AS42" s="97"/>
      <c r="AT42" s="97"/>
    </row>
    <row r="43" spans="1:47" ht="10.5">
      <c r="A43" s="156"/>
      <c r="B43" s="419"/>
      <c r="C43" s="419"/>
      <c r="D43" s="97"/>
      <c r="E43" s="97"/>
      <c r="F43" s="97"/>
      <c r="G43" s="97"/>
      <c r="H43" s="97"/>
      <c r="I43" s="97"/>
      <c r="J43" s="97"/>
      <c r="K43" s="97"/>
      <c r="M43" s="419"/>
      <c r="N43" s="419"/>
      <c r="O43" s="419"/>
      <c r="P43" s="420"/>
      <c r="Q43" s="97"/>
      <c r="R43" s="97"/>
      <c r="S43" s="97"/>
      <c r="T43" s="93"/>
      <c r="U43" s="97"/>
      <c r="V43" s="97"/>
      <c r="W43" s="97"/>
      <c r="X43" s="93"/>
      <c r="Y43" s="97"/>
      <c r="Z43" s="97"/>
      <c r="AA43" s="97"/>
      <c r="AB43" s="93"/>
      <c r="AC43" s="97"/>
      <c r="AD43" s="97"/>
      <c r="AE43" s="97"/>
      <c r="AF43" s="93"/>
      <c r="AG43" s="97"/>
      <c r="AH43" s="97"/>
      <c r="AI43" s="97"/>
      <c r="AJ43" s="93"/>
      <c r="AK43" s="97"/>
      <c r="AL43" s="97"/>
      <c r="AM43" s="97"/>
      <c r="AN43" s="93"/>
      <c r="AO43" s="97"/>
      <c r="AP43" s="97"/>
      <c r="AQ43" s="97"/>
      <c r="AR43" s="93"/>
      <c r="AS43" s="97"/>
      <c r="AT43" s="97"/>
    </row>
    <row r="44" spans="1:47">
      <c r="A44" s="160" t="s">
        <v>117</v>
      </c>
      <c r="B44" s="97">
        <v>5858</v>
      </c>
      <c r="C44" s="97">
        <v>5402</v>
      </c>
      <c r="D44" s="97">
        <v>5176</v>
      </c>
      <c r="E44" s="97">
        <v>4324</v>
      </c>
      <c r="F44" s="97">
        <v>7228</v>
      </c>
      <c r="G44" s="97">
        <v>8334</v>
      </c>
      <c r="H44" s="97">
        <v>7607</v>
      </c>
      <c r="I44" s="97">
        <v>5558</v>
      </c>
      <c r="J44" s="97">
        <v>7143</v>
      </c>
      <c r="K44" s="97">
        <v>10460</v>
      </c>
      <c r="M44" s="97">
        <v>1255</v>
      </c>
      <c r="N44" s="97">
        <v>1486</v>
      </c>
      <c r="O44" s="97">
        <v>1419</v>
      </c>
      <c r="P44" s="93">
        <v>1016</v>
      </c>
      <c r="Q44" s="97">
        <v>979</v>
      </c>
      <c r="R44" s="97">
        <v>-62</v>
      </c>
      <c r="S44" s="97">
        <v>920</v>
      </c>
      <c r="T44" s="93">
        <v>2487</v>
      </c>
      <c r="U44" s="97">
        <v>589</v>
      </c>
      <c r="V44" s="97">
        <v>1610</v>
      </c>
      <c r="W44" s="97">
        <v>1852</v>
      </c>
      <c r="X44" s="93">
        <v>3177</v>
      </c>
      <c r="Y44" s="97">
        <v>1781</v>
      </c>
      <c r="Z44" s="97">
        <v>2383</v>
      </c>
      <c r="AA44" s="97">
        <v>1819</v>
      </c>
      <c r="AB44" s="93">
        <v>2351</v>
      </c>
      <c r="AC44" s="97">
        <v>1823</v>
      </c>
      <c r="AD44" s="97">
        <v>1422</v>
      </c>
      <c r="AE44" s="97">
        <v>1818</v>
      </c>
      <c r="AF44" s="93">
        <v>2544</v>
      </c>
      <c r="AG44" s="97">
        <v>751</v>
      </c>
      <c r="AH44" s="97">
        <v>1400</v>
      </c>
      <c r="AI44" s="97">
        <v>1664</v>
      </c>
      <c r="AJ44" s="93">
        <v>1743</v>
      </c>
      <c r="AK44" s="97">
        <v>739</v>
      </c>
      <c r="AL44" s="97">
        <v>1694</v>
      </c>
      <c r="AM44" s="97">
        <v>1917</v>
      </c>
      <c r="AN44" s="93">
        <v>2793</v>
      </c>
      <c r="AO44" s="97">
        <v>2404</v>
      </c>
      <c r="AP44" s="97">
        <v>1611</v>
      </c>
      <c r="AQ44" s="97">
        <v>2501</v>
      </c>
      <c r="AR44" s="93">
        <v>3944</v>
      </c>
      <c r="AS44" s="97">
        <v>2588</v>
      </c>
      <c r="AT44" s="97">
        <v>2122</v>
      </c>
    </row>
    <row r="45" spans="1:47">
      <c r="A45" s="160" t="s">
        <v>47</v>
      </c>
      <c r="B45" s="235">
        <v>-3175</v>
      </c>
      <c r="C45" s="235">
        <v>-1805</v>
      </c>
      <c r="D45" s="235">
        <v>5543</v>
      </c>
      <c r="E45" s="235">
        <v>-1337</v>
      </c>
      <c r="F45" s="235">
        <v>-1655</v>
      </c>
      <c r="G45" s="235">
        <v>-608</v>
      </c>
      <c r="H45" s="235">
        <v>-3473</v>
      </c>
      <c r="I45" s="235">
        <v>-5991</v>
      </c>
      <c r="J45" s="235">
        <v>-5237</v>
      </c>
      <c r="K45" s="235">
        <v>-11690</v>
      </c>
      <c r="M45" s="235">
        <v>1152</v>
      </c>
      <c r="N45" s="235">
        <v>-1272</v>
      </c>
      <c r="O45" s="235">
        <v>2801</v>
      </c>
      <c r="P45" s="170">
        <v>2862</v>
      </c>
      <c r="Q45" s="235">
        <v>-841</v>
      </c>
      <c r="R45" s="235">
        <v>-317</v>
      </c>
      <c r="S45" s="235">
        <v>62</v>
      </c>
      <c r="T45" s="93">
        <v>-241</v>
      </c>
      <c r="U45" s="235">
        <v>-828</v>
      </c>
      <c r="V45" s="235">
        <v>-763</v>
      </c>
      <c r="W45" s="235">
        <v>-71</v>
      </c>
      <c r="X45" s="170">
        <v>7</v>
      </c>
      <c r="Y45" s="235">
        <v>-200</v>
      </c>
      <c r="Z45" s="235">
        <v>-119</v>
      </c>
      <c r="AA45" s="235">
        <v>-183</v>
      </c>
      <c r="AB45" s="170">
        <v>-106</v>
      </c>
      <c r="AC45" s="235">
        <v>-333</v>
      </c>
      <c r="AD45" s="235">
        <v>-1486</v>
      </c>
      <c r="AE45" s="235">
        <v>-802</v>
      </c>
      <c r="AF45" s="170">
        <v>-852</v>
      </c>
      <c r="AG45" s="235">
        <v>-354</v>
      </c>
      <c r="AH45" s="235">
        <v>-623</v>
      </c>
      <c r="AI45" s="235">
        <v>-587</v>
      </c>
      <c r="AJ45" s="170">
        <v>-4427</v>
      </c>
      <c r="AK45" s="235">
        <v>-3739</v>
      </c>
      <c r="AL45" s="235">
        <v>-774</v>
      </c>
      <c r="AM45" s="235">
        <v>-371</v>
      </c>
      <c r="AN45" s="170">
        <v>-353</v>
      </c>
      <c r="AO45" s="235">
        <v>-511</v>
      </c>
      <c r="AP45" s="235">
        <v>-8703</v>
      </c>
      <c r="AQ45" s="235">
        <v>-1730</v>
      </c>
      <c r="AR45" s="170">
        <v>-746</v>
      </c>
      <c r="AS45" s="235">
        <v>-281</v>
      </c>
      <c r="AT45" s="235">
        <v>-692</v>
      </c>
    </row>
    <row r="46" spans="1:47">
      <c r="A46" s="160" t="s">
        <v>215</v>
      </c>
      <c r="B46" s="235" t="s">
        <v>113</v>
      </c>
      <c r="C46" s="235" t="s">
        <v>113</v>
      </c>
      <c r="D46" s="97">
        <v>137</v>
      </c>
      <c r="E46" s="97">
        <v>546</v>
      </c>
      <c r="F46" s="97">
        <v>984</v>
      </c>
      <c r="G46" s="97">
        <v>75</v>
      </c>
      <c r="H46" s="97">
        <v>2352</v>
      </c>
      <c r="I46" s="97">
        <v>4686</v>
      </c>
      <c r="J46" s="97">
        <v>3666</v>
      </c>
      <c r="K46" s="97">
        <v>9658</v>
      </c>
      <c r="M46" s="97">
        <v>66</v>
      </c>
      <c r="N46" s="97">
        <v>6</v>
      </c>
      <c r="O46" s="97">
        <v>65</v>
      </c>
      <c r="P46" s="96" t="s">
        <v>113</v>
      </c>
      <c r="Q46" s="97">
        <v>482</v>
      </c>
      <c r="R46" s="235" t="s">
        <v>113</v>
      </c>
      <c r="S46" s="46" t="s">
        <v>113</v>
      </c>
      <c r="T46" s="93">
        <v>64</v>
      </c>
      <c r="U46" s="97">
        <v>449</v>
      </c>
      <c r="V46" s="97">
        <v>578</v>
      </c>
      <c r="W46" s="97">
        <v>-33</v>
      </c>
      <c r="X46" s="93">
        <v>-10</v>
      </c>
      <c r="Y46" s="97">
        <v>15</v>
      </c>
      <c r="Z46" s="97">
        <v>28</v>
      </c>
      <c r="AA46" s="97">
        <v>31</v>
      </c>
      <c r="AB46" s="93">
        <v>1</v>
      </c>
      <c r="AC46" s="235" t="s">
        <v>113</v>
      </c>
      <c r="AD46" s="97">
        <v>1282</v>
      </c>
      <c r="AE46" s="97">
        <v>492</v>
      </c>
      <c r="AF46" s="93">
        <v>578</v>
      </c>
      <c r="AG46" s="97">
        <v>18</v>
      </c>
      <c r="AH46" s="97">
        <v>257</v>
      </c>
      <c r="AI46" s="97">
        <v>210</v>
      </c>
      <c r="AJ46" s="93">
        <v>4201</v>
      </c>
      <c r="AK46" s="97">
        <v>3279</v>
      </c>
      <c r="AL46" s="97">
        <v>38</v>
      </c>
      <c r="AM46" s="97">
        <v>7</v>
      </c>
      <c r="AN46" s="93">
        <v>342</v>
      </c>
      <c r="AO46" s="97">
        <v>0</v>
      </c>
      <c r="AP46" s="97">
        <v>8294</v>
      </c>
      <c r="AQ46" s="97">
        <v>1080</v>
      </c>
      <c r="AR46" s="93">
        <v>284</v>
      </c>
      <c r="AS46" s="97">
        <v>74</v>
      </c>
      <c r="AT46" s="97">
        <v>13</v>
      </c>
    </row>
    <row r="47" spans="1:47">
      <c r="A47" s="160" t="s">
        <v>166</v>
      </c>
      <c r="B47" s="97">
        <v>2947</v>
      </c>
      <c r="C47" s="97">
        <v>1283</v>
      </c>
      <c r="D47" s="97">
        <v>-6246</v>
      </c>
      <c r="E47" s="97">
        <v>351</v>
      </c>
      <c r="F47" s="97">
        <v>131</v>
      </c>
      <c r="G47" s="97">
        <v>-795</v>
      </c>
      <c r="H47" s="97">
        <v>381</v>
      </c>
      <c r="I47" s="97">
        <v>1409</v>
      </c>
      <c r="J47" s="97">
        <v>639</v>
      </c>
      <c r="K47" s="97">
        <v>704</v>
      </c>
      <c r="M47" s="97">
        <v>-1362</v>
      </c>
      <c r="N47" s="97">
        <v>1093</v>
      </c>
      <c r="O47" s="97">
        <v>-3043</v>
      </c>
      <c r="P47" s="93">
        <v>-2934</v>
      </c>
      <c r="Q47" s="97">
        <v>46</v>
      </c>
      <c r="R47" s="97">
        <v>578</v>
      </c>
      <c r="S47" s="97">
        <v>-205</v>
      </c>
      <c r="T47" s="93">
        <v>-68</v>
      </c>
      <c r="U47" s="97">
        <v>262</v>
      </c>
      <c r="V47" s="97">
        <v>81</v>
      </c>
      <c r="W47" s="97">
        <v>135</v>
      </c>
      <c r="X47" s="93">
        <v>-347</v>
      </c>
      <c r="Y47" s="97">
        <v>-64</v>
      </c>
      <c r="Z47" s="97">
        <v>-329</v>
      </c>
      <c r="AA47" s="97">
        <v>-312</v>
      </c>
      <c r="AB47" s="93">
        <v>-90</v>
      </c>
      <c r="AC47" s="97">
        <v>120</v>
      </c>
      <c r="AD47" s="97">
        <v>11</v>
      </c>
      <c r="AE47" s="97">
        <v>105</v>
      </c>
      <c r="AF47" s="93">
        <v>145</v>
      </c>
      <c r="AG47" s="97">
        <v>452</v>
      </c>
      <c r="AH47" s="97">
        <v>428</v>
      </c>
      <c r="AI47" s="97">
        <v>527</v>
      </c>
      <c r="AJ47" s="93">
        <v>2</v>
      </c>
      <c r="AK47" s="97">
        <v>59</v>
      </c>
      <c r="AL47" s="97">
        <v>591</v>
      </c>
      <c r="AM47" s="97">
        <v>336</v>
      </c>
      <c r="AN47" s="93">
        <v>-347</v>
      </c>
      <c r="AO47" s="97">
        <v>-115</v>
      </c>
      <c r="AP47" s="97">
        <v>407</v>
      </c>
      <c r="AQ47" s="97">
        <v>-62</v>
      </c>
      <c r="AR47" s="93">
        <v>474</v>
      </c>
      <c r="AS47" s="97">
        <v>-812</v>
      </c>
      <c r="AT47" s="97">
        <v>-339</v>
      </c>
      <c r="AU47" s="97"/>
    </row>
    <row r="48" spans="1:47" ht="10.5">
      <c r="A48" s="164" t="s">
        <v>118</v>
      </c>
      <c r="B48" s="231">
        <v>5630</v>
      </c>
      <c r="C48" s="231">
        <v>4880</v>
      </c>
      <c r="D48" s="231">
        <v>4610</v>
      </c>
      <c r="E48" s="231">
        <v>3884</v>
      </c>
      <c r="F48" s="231">
        <v>6688</v>
      </c>
      <c r="G48" s="231">
        <v>7006</v>
      </c>
      <c r="H48" s="231">
        <v>6867</v>
      </c>
      <c r="I48" s="231">
        <v>5662</v>
      </c>
      <c r="J48" s="231">
        <v>6211</v>
      </c>
      <c r="K48" s="231">
        <v>9132</v>
      </c>
      <c r="M48" s="231">
        <v>1111</v>
      </c>
      <c r="N48" s="231">
        <v>1313</v>
      </c>
      <c r="O48" s="231">
        <v>1242</v>
      </c>
      <c r="P48" s="94">
        <v>944</v>
      </c>
      <c r="Q48" s="231">
        <v>666</v>
      </c>
      <c r="R48" s="231">
        <v>199</v>
      </c>
      <c r="S48" s="231">
        <v>777</v>
      </c>
      <c r="T48" s="94">
        <v>2242</v>
      </c>
      <c r="U48" s="231">
        <v>472</v>
      </c>
      <c r="V48" s="231">
        <v>1506</v>
      </c>
      <c r="W48" s="231">
        <v>1883</v>
      </c>
      <c r="X48" s="94">
        <v>2827</v>
      </c>
      <c r="Y48" s="231">
        <v>1532</v>
      </c>
      <c r="Z48" s="231">
        <v>1963</v>
      </c>
      <c r="AA48" s="231">
        <v>1355</v>
      </c>
      <c r="AB48" s="94">
        <v>2156</v>
      </c>
      <c r="AC48" s="231">
        <v>1610</v>
      </c>
      <c r="AD48" s="231">
        <v>1229</v>
      </c>
      <c r="AE48" s="231">
        <v>1613</v>
      </c>
      <c r="AF48" s="94">
        <v>2415</v>
      </c>
      <c r="AG48" s="231">
        <v>867</v>
      </c>
      <c r="AH48" s="231">
        <v>1462</v>
      </c>
      <c r="AI48" s="231">
        <v>1814</v>
      </c>
      <c r="AJ48" s="94">
        <v>1519</v>
      </c>
      <c r="AK48" s="231">
        <v>338</v>
      </c>
      <c r="AL48" s="231">
        <v>1549</v>
      </c>
      <c r="AM48" s="231">
        <v>1889</v>
      </c>
      <c r="AN48" s="94">
        <v>2435</v>
      </c>
      <c r="AO48" s="231">
        <v>1778</v>
      </c>
      <c r="AP48" s="231">
        <v>1609</v>
      </c>
      <c r="AQ48" s="231">
        <v>1789</v>
      </c>
      <c r="AR48" s="94">
        <v>3956</v>
      </c>
      <c r="AS48" s="231">
        <v>1569</v>
      </c>
      <c r="AT48" s="231">
        <v>1104</v>
      </c>
    </row>
    <row r="49" spans="1:46">
      <c r="A49" s="160"/>
      <c r="B49" s="176"/>
      <c r="C49" s="176"/>
      <c r="M49" s="176"/>
      <c r="N49" s="176"/>
      <c r="O49" s="176"/>
      <c r="P49" s="177"/>
      <c r="T49" s="95"/>
      <c r="X49" s="95"/>
      <c r="AB49" s="95"/>
      <c r="AF49" s="95"/>
      <c r="AJ49" s="95"/>
      <c r="AN49" s="95"/>
      <c r="AR49" s="95"/>
    </row>
    <row r="50" spans="1:46" ht="11.25" customHeight="1">
      <c r="A50" s="178" t="s">
        <v>262</v>
      </c>
      <c r="B50" s="178"/>
      <c r="C50" s="178"/>
      <c r="D50" s="178"/>
      <c r="M50" s="178"/>
      <c r="N50" s="178"/>
      <c r="O50" s="178"/>
      <c r="P50" s="179"/>
      <c r="Q50" s="178"/>
      <c r="T50" s="95"/>
      <c r="X50" s="95"/>
      <c r="AB50" s="95"/>
      <c r="AF50" s="95"/>
      <c r="AJ50" s="95"/>
      <c r="AN50" s="95"/>
      <c r="AR50" s="95"/>
    </row>
    <row r="51" spans="1:46" ht="10.5">
      <c r="A51" s="156"/>
      <c r="B51" s="419"/>
      <c r="C51" s="419"/>
      <c r="D51" s="97"/>
      <c r="E51" s="97"/>
      <c r="F51" s="97"/>
      <c r="G51" s="97"/>
      <c r="H51" s="97"/>
      <c r="I51" s="97"/>
      <c r="J51" s="97"/>
      <c r="K51" s="97"/>
      <c r="M51" s="419"/>
      <c r="N51" s="419"/>
      <c r="O51" s="419"/>
      <c r="P51" s="420"/>
      <c r="Q51" s="97"/>
      <c r="R51" s="97"/>
      <c r="S51" s="97"/>
      <c r="T51" s="93"/>
      <c r="U51" s="97"/>
      <c r="V51" s="97"/>
      <c r="W51" s="97"/>
      <c r="X51" s="93"/>
      <c r="AB51" s="95"/>
      <c r="AF51" s="95"/>
      <c r="AJ51" s="95"/>
      <c r="AK51" s="97"/>
      <c r="AL51" s="97"/>
      <c r="AM51" s="97"/>
      <c r="AN51" s="93"/>
      <c r="AO51" s="97"/>
      <c r="AP51" s="97"/>
      <c r="AQ51" s="97"/>
      <c r="AR51" s="93"/>
      <c r="AS51" s="97"/>
      <c r="AT51" s="97"/>
    </row>
    <row r="52" spans="1:46" ht="10.5">
      <c r="A52" s="156" t="s">
        <v>93</v>
      </c>
      <c r="B52" s="157"/>
      <c r="C52" s="157"/>
      <c r="D52" s="97"/>
      <c r="E52" s="97"/>
      <c r="F52" s="97"/>
      <c r="G52" s="97"/>
      <c r="H52" s="97"/>
      <c r="I52" s="97"/>
      <c r="J52" s="97"/>
      <c r="K52" s="97"/>
      <c r="M52" s="157"/>
      <c r="N52" s="168"/>
      <c r="O52" s="168"/>
      <c r="P52" s="93"/>
      <c r="Q52" s="97"/>
      <c r="R52" s="97"/>
      <c r="S52" s="97"/>
      <c r="T52" s="93"/>
      <c r="U52" s="97"/>
      <c r="V52" s="97"/>
      <c r="W52" s="97"/>
      <c r="X52" s="93"/>
      <c r="Y52" s="97"/>
      <c r="Z52" s="97"/>
      <c r="AA52" s="97"/>
      <c r="AB52" s="93"/>
      <c r="AC52" s="97"/>
      <c r="AD52" s="97"/>
      <c r="AE52" s="97"/>
      <c r="AF52" s="93"/>
      <c r="AG52" s="97"/>
      <c r="AH52" s="97"/>
      <c r="AI52" s="97"/>
      <c r="AJ52" s="93"/>
      <c r="AK52" s="97"/>
      <c r="AL52" s="97"/>
      <c r="AM52" s="97"/>
      <c r="AN52" s="93"/>
      <c r="AO52" s="97"/>
      <c r="AP52" s="97"/>
      <c r="AQ52" s="97"/>
      <c r="AR52" s="93"/>
      <c r="AS52" s="97"/>
      <c r="AT52" s="97"/>
    </row>
    <row r="53" spans="1:46">
      <c r="A53" s="160" t="s">
        <v>20</v>
      </c>
      <c r="B53" s="235"/>
      <c r="C53" s="235"/>
      <c r="D53" s="235"/>
      <c r="E53" s="235">
        <v>491</v>
      </c>
      <c r="F53" s="235">
        <v>560</v>
      </c>
      <c r="G53" s="235">
        <f>SUM(Y53:AB53)</f>
        <v>443</v>
      </c>
      <c r="H53" s="235">
        <f>SUM(AC53:AF53)</f>
        <v>393</v>
      </c>
      <c r="I53" s="235">
        <f>SUM(AG53:AJ53)</f>
        <v>491</v>
      </c>
      <c r="J53" s="235">
        <f>SUM(AK53:AN53)</f>
        <v>558</v>
      </c>
      <c r="K53" s="235">
        <v>657</v>
      </c>
      <c r="M53" s="235"/>
      <c r="N53" s="235"/>
      <c r="O53" s="235"/>
      <c r="P53" s="170"/>
      <c r="Q53" s="235"/>
      <c r="R53" s="235"/>
      <c r="S53" s="235"/>
      <c r="T53" s="93"/>
      <c r="U53" s="235"/>
      <c r="V53" s="235"/>
      <c r="W53" s="235"/>
      <c r="X53" s="170"/>
      <c r="Y53" s="235">
        <v>114</v>
      </c>
      <c r="Z53" s="235">
        <v>113</v>
      </c>
      <c r="AA53" s="235">
        <v>111</v>
      </c>
      <c r="AB53" s="170">
        <v>105</v>
      </c>
      <c r="AC53" s="235">
        <v>90</v>
      </c>
      <c r="AD53" s="235">
        <v>96</v>
      </c>
      <c r="AE53" s="235">
        <v>96</v>
      </c>
      <c r="AF53" s="170">
        <v>111</v>
      </c>
      <c r="AG53" s="235">
        <v>110</v>
      </c>
      <c r="AH53" s="235">
        <v>117</v>
      </c>
      <c r="AI53" s="235">
        <v>130</v>
      </c>
      <c r="AJ53" s="170">
        <v>134</v>
      </c>
      <c r="AK53" s="235">
        <v>134</v>
      </c>
      <c r="AL53" s="235">
        <v>138</v>
      </c>
      <c r="AM53" s="235">
        <v>140</v>
      </c>
      <c r="AN53" s="170">
        <v>146</v>
      </c>
      <c r="AO53" s="235">
        <v>153</v>
      </c>
      <c r="AP53" s="235">
        <v>173</v>
      </c>
      <c r="AQ53" s="235">
        <v>173</v>
      </c>
      <c r="AR53" s="170">
        <v>158</v>
      </c>
      <c r="AS53" s="235">
        <v>147</v>
      </c>
      <c r="AT53" s="235">
        <v>148</v>
      </c>
    </row>
    <row r="54" spans="1:46">
      <c r="A54" s="160" t="s">
        <v>994</v>
      </c>
      <c r="B54" s="235"/>
      <c r="C54" s="235"/>
      <c r="D54" s="235"/>
      <c r="E54" s="235">
        <v>470</v>
      </c>
      <c r="F54" s="235">
        <v>948</v>
      </c>
      <c r="G54" s="235">
        <f>SUM(Y54:AB54)</f>
        <v>920</v>
      </c>
      <c r="H54" s="235">
        <f>SUM(AC54:AF54)</f>
        <v>920</v>
      </c>
      <c r="I54" s="235">
        <f>SUM(AG54:AJ54)</f>
        <v>1011</v>
      </c>
      <c r="J54" s="235">
        <f>SUM(AK54:AN54)</f>
        <v>1210</v>
      </c>
      <c r="K54" s="235">
        <v>1404</v>
      </c>
      <c r="M54" s="235"/>
      <c r="N54" s="235"/>
      <c r="O54" s="235"/>
      <c r="P54" s="170"/>
      <c r="Q54" s="235"/>
      <c r="R54" s="235"/>
      <c r="S54" s="235"/>
      <c r="T54" s="93"/>
      <c r="U54" s="235"/>
      <c r="V54" s="235"/>
      <c r="W54" s="235"/>
      <c r="X54" s="170"/>
      <c r="Y54" s="235">
        <v>231</v>
      </c>
      <c r="Z54" s="235">
        <v>235</v>
      </c>
      <c r="AA54" s="235">
        <v>215</v>
      </c>
      <c r="AB54" s="170">
        <v>239</v>
      </c>
      <c r="AC54" s="235">
        <v>220</v>
      </c>
      <c r="AD54" s="235">
        <v>226</v>
      </c>
      <c r="AE54" s="235">
        <v>248</v>
      </c>
      <c r="AF54" s="170">
        <v>226</v>
      </c>
      <c r="AG54" s="235">
        <v>232</v>
      </c>
      <c r="AH54" s="235">
        <v>238</v>
      </c>
      <c r="AI54" s="235">
        <v>256</v>
      </c>
      <c r="AJ54" s="170">
        <v>285</v>
      </c>
      <c r="AK54" s="235">
        <v>288</v>
      </c>
      <c r="AL54" s="235">
        <v>314</v>
      </c>
      <c r="AM54" s="235">
        <v>288</v>
      </c>
      <c r="AN54" s="170">
        <v>320</v>
      </c>
      <c r="AO54" s="235">
        <v>304</v>
      </c>
      <c r="AP54" s="235">
        <v>345</v>
      </c>
      <c r="AQ54" s="235">
        <v>374</v>
      </c>
      <c r="AR54" s="170">
        <v>381</v>
      </c>
      <c r="AS54" s="235">
        <v>366</v>
      </c>
      <c r="AT54" s="235">
        <v>369</v>
      </c>
    </row>
    <row r="55" spans="1:46">
      <c r="A55" s="160" t="s">
        <v>19</v>
      </c>
      <c r="B55" s="235"/>
      <c r="C55" s="235"/>
      <c r="D55" s="235"/>
      <c r="E55" s="235">
        <v>408</v>
      </c>
      <c r="F55" s="235">
        <v>470</v>
      </c>
      <c r="G55" s="235">
        <f>SUM(Y55:AB55)</f>
        <v>383</v>
      </c>
      <c r="H55" s="235">
        <f>SUM(AC55:AF55)</f>
        <v>433</v>
      </c>
      <c r="I55" s="235">
        <f>SUM(AG55:AJ55)</f>
        <v>628</v>
      </c>
      <c r="J55" s="235">
        <f>SUM(AK55:AN55)</f>
        <v>895</v>
      </c>
      <c r="K55" s="235">
        <v>1383</v>
      </c>
      <c r="M55" s="235"/>
      <c r="N55" s="235"/>
      <c r="O55" s="235"/>
      <c r="P55" s="170"/>
      <c r="Q55" s="235"/>
      <c r="R55" s="235"/>
      <c r="S55" s="235"/>
      <c r="T55" s="93"/>
      <c r="U55" s="235"/>
      <c r="V55" s="235"/>
      <c r="W55" s="235"/>
      <c r="X55" s="170"/>
      <c r="Y55" s="235">
        <v>95</v>
      </c>
      <c r="Z55" s="235">
        <v>93</v>
      </c>
      <c r="AA55" s="235">
        <v>100</v>
      </c>
      <c r="AB55" s="170">
        <v>95</v>
      </c>
      <c r="AC55" s="235">
        <v>72</v>
      </c>
      <c r="AD55" s="235">
        <v>89</v>
      </c>
      <c r="AE55" s="235">
        <v>118</v>
      </c>
      <c r="AF55" s="170">
        <v>154</v>
      </c>
      <c r="AG55" s="235">
        <v>124</v>
      </c>
      <c r="AH55" s="235">
        <v>132</v>
      </c>
      <c r="AI55" s="235">
        <v>140</v>
      </c>
      <c r="AJ55" s="170">
        <v>232</v>
      </c>
      <c r="AK55" s="235">
        <v>213</v>
      </c>
      <c r="AL55" s="235">
        <v>192</v>
      </c>
      <c r="AM55" s="235">
        <v>273</v>
      </c>
      <c r="AN55" s="170">
        <v>217</v>
      </c>
      <c r="AO55" s="235">
        <v>216</v>
      </c>
      <c r="AP55" s="235">
        <v>270</v>
      </c>
      <c r="AQ55" s="235">
        <v>621</v>
      </c>
      <c r="AR55" s="170">
        <v>276</v>
      </c>
      <c r="AS55" s="235">
        <v>266</v>
      </c>
      <c r="AT55" s="235">
        <v>251</v>
      </c>
    </row>
    <row r="56" spans="1:46" ht="10.5">
      <c r="A56" s="164" t="s">
        <v>832</v>
      </c>
      <c r="B56" s="231"/>
      <c r="C56" s="231"/>
      <c r="D56" s="231"/>
      <c r="E56" s="231">
        <f t="shared" ref="E56:J56" si="0">SUM(E53:E55)</f>
        <v>1369</v>
      </c>
      <c r="F56" s="231">
        <f t="shared" si="0"/>
        <v>1978</v>
      </c>
      <c r="G56" s="231">
        <f t="shared" si="0"/>
        <v>1746</v>
      </c>
      <c r="H56" s="231">
        <f t="shared" si="0"/>
        <v>1746</v>
      </c>
      <c r="I56" s="231">
        <f t="shared" si="0"/>
        <v>2130</v>
      </c>
      <c r="J56" s="231">
        <f t="shared" si="0"/>
        <v>2663</v>
      </c>
      <c r="K56" s="231">
        <f>SUM(K53:K55)</f>
        <v>3444</v>
      </c>
      <c r="M56" s="231"/>
      <c r="N56" s="231"/>
      <c r="O56" s="231"/>
      <c r="P56" s="165"/>
      <c r="Q56" s="232"/>
      <c r="R56" s="231"/>
      <c r="S56" s="231"/>
      <c r="T56" s="231"/>
      <c r="U56" s="231"/>
      <c r="V56" s="231"/>
      <c r="W56" s="231"/>
      <c r="X56" s="165"/>
      <c r="Y56" s="232">
        <f t="shared" ref="Y56:AP56" si="1">SUM(Y53:Y55)</f>
        <v>440</v>
      </c>
      <c r="Z56" s="231">
        <f t="shared" si="1"/>
        <v>441</v>
      </c>
      <c r="AA56" s="231">
        <f t="shared" si="1"/>
        <v>426</v>
      </c>
      <c r="AB56" s="165">
        <f t="shared" si="1"/>
        <v>439</v>
      </c>
      <c r="AC56" s="232">
        <f t="shared" si="1"/>
        <v>382</v>
      </c>
      <c r="AD56" s="231">
        <f t="shared" si="1"/>
        <v>411</v>
      </c>
      <c r="AE56" s="231">
        <f t="shared" si="1"/>
        <v>462</v>
      </c>
      <c r="AF56" s="165">
        <f t="shared" si="1"/>
        <v>491</v>
      </c>
      <c r="AG56" s="232">
        <f t="shared" si="1"/>
        <v>466</v>
      </c>
      <c r="AH56" s="231">
        <f t="shared" si="1"/>
        <v>487</v>
      </c>
      <c r="AI56" s="231">
        <f t="shared" si="1"/>
        <v>526</v>
      </c>
      <c r="AJ56" s="165">
        <f t="shared" si="1"/>
        <v>651</v>
      </c>
      <c r="AK56" s="232">
        <f t="shared" si="1"/>
        <v>635</v>
      </c>
      <c r="AL56" s="231">
        <f t="shared" si="1"/>
        <v>644</v>
      </c>
      <c r="AM56" s="231">
        <f t="shared" si="1"/>
        <v>701</v>
      </c>
      <c r="AN56" s="94">
        <f t="shared" si="1"/>
        <v>683</v>
      </c>
      <c r="AO56" s="231">
        <v>673</v>
      </c>
      <c r="AP56" s="231">
        <f t="shared" si="1"/>
        <v>788</v>
      </c>
      <c r="AQ56" s="231">
        <v>1168</v>
      </c>
      <c r="AR56" s="94">
        <v>815</v>
      </c>
      <c r="AS56" s="231">
        <v>779</v>
      </c>
      <c r="AT56" s="231">
        <v>768</v>
      </c>
    </row>
    <row r="58" spans="1:46">
      <c r="A58" s="160"/>
      <c r="B58" s="97"/>
      <c r="C58" s="97"/>
      <c r="D58" s="97"/>
      <c r="E58" s="97"/>
      <c r="F58" s="97"/>
      <c r="G58" s="97"/>
      <c r="H58" s="97"/>
      <c r="I58" s="97"/>
      <c r="J58" s="97"/>
      <c r="K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row>
    <row r="59" spans="1:46">
      <c r="A59" s="160"/>
      <c r="Y59" s="97"/>
      <c r="Z59" s="97"/>
      <c r="AA59" s="97"/>
      <c r="AB59" s="97"/>
      <c r="AC59" s="97"/>
      <c r="AD59" s="97"/>
      <c r="AE59" s="97"/>
      <c r="AF59" s="97"/>
      <c r="AG59" s="97"/>
      <c r="AH59" s="97"/>
      <c r="AI59" s="97"/>
      <c r="AJ59" s="97"/>
      <c r="AK59" s="97"/>
      <c r="AL59" s="97"/>
      <c r="AM59" s="97"/>
      <c r="AN59" s="97"/>
      <c r="AO59" s="97"/>
      <c r="AP59" s="97"/>
      <c r="AQ59" s="97"/>
      <c r="AR59" s="97"/>
      <c r="AS59" s="97"/>
      <c r="AT59" s="97"/>
    </row>
    <row r="60" spans="1:46">
      <c r="A60" s="160"/>
      <c r="E60" s="97"/>
      <c r="F60" s="97"/>
      <c r="G60" s="97"/>
      <c r="H60" s="97"/>
      <c r="I60" s="97"/>
      <c r="J60" s="97"/>
      <c r="K60" s="97"/>
      <c r="N60" s="97"/>
      <c r="O60" s="97"/>
      <c r="P60" s="97"/>
      <c r="R60" s="97"/>
      <c r="S60" s="97"/>
      <c r="T60" s="97"/>
      <c r="V60" s="97"/>
      <c r="W60" s="97"/>
      <c r="X60" s="97"/>
    </row>
    <row r="61" spans="1:46">
      <c r="N61" s="97"/>
      <c r="O61" s="97"/>
      <c r="P61" s="97"/>
      <c r="R61" s="97"/>
      <c r="S61" s="97"/>
      <c r="T61" s="97"/>
      <c r="V61" s="97"/>
      <c r="W61" s="97"/>
      <c r="X61" s="97"/>
    </row>
    <row r="62" spans="1:46">
      <c r="N62" s="97"/>
      <c r="O62" s="97"/>
      <c r="P62" s="97"/>
      <c r="R62" s="97"/>
      <c r="S62" s="97"/>
      <c r="T62" s="97"/>
      <c r="V62" s="97"/>
      <c r="W62" s="97"/>
      <c r="X62" s="97"/>
    </row>
  </sheetData>
  <hyperlinks>
    <hyperlink ref="A2" location="'START PAGE'!A1" display="Back to start page" xr:uid="{00000000-0004-0000-0900-000000000000}"/>
  </hyperlinks>
  <pageMargins left="0.7" right="0.7" top="0.75" bottom="0.75" header="0.3" footer="0.3"/>
  <pageSetup paperSize="9" scale="46" orientation="landscape" r:id="rId1"/>
  <ignoredErrors>
    <ignoredError sqref="Y56:AM56" unlockedFormula="1"/>
    <ignoredError sqref="G53:J55" formulaRang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D00"/>
    <pageSetUpPr fitToPage="1"/>
  </sheetPr>
  <dimension ref="A1:AP100"/>
  <sheetViews>
    <sheetView showGridLines="0" zoomScale="90" zoomScaleNormal="90" workbookViewId="0">
      <pane xSplit="1" ySplit="3" topLeftCell="B4" activePane="bottomRight" state="frozen"/>
      <selection activeCell="C75" sqref="C75"/>
      <selection pane="topRight" activeCell="C75" sqref="C75"/>
      <selection pane="bottomLeft" activeCell="C75" sqref="C75"/>
      <selection pane="bottomRight" activeCell="B4" sqref="B4"/>
    </sheetView>
  </sheetViews>
  <sheetFormatPr defaultColWidth="9" defaultRowHeight="10"/>
  <cols>
    <col min="1" max="1" width="34.08203125" style="64" customWidth="1"/>
    <col min="2" max="11" width="6.08203125" style="22" bestFit="1" customWidth="1"/>
    <col min="12" max="12" width="6.5" style="41" customWidth="1"/>
    <col min="13" max="42" width="5.58203125" style="22" customWidth="1"/>
    <col min="43" max="16384" width="9" style="41"/>
  </cols>
  <sheetData>
    <row r="1" spans="1:42" ht="16" thickBot="1">
      <c r="A1" s="59" t="s">
        <v>196</v>
      </c>
      <c r="B1" s="88" t="s">
        <v>222</v>
      </c>
      <c r="C1" s="67"/>
      <c r="D1" s="67"/>
      <c r="E1" s="67"/>
      <c r="F1" s="67"/>
      <c r="G1" s="67"/>
      <c r="H1" s="67"/>
      <c r="I1" s="67"/>
      <c r="J1" s="67"/>
      <c r="K1" s="67"/>
      <c r="M1" s="88" t="s">
        <v>221</v>
      </c>
      <c r="N1" s="67"/>
      <c r="O1" s="67"/>
      <c r="P1" s="79"/>
      <c r="Q1" s="240"/>
      <c r="R1" s="67"/>
      <c r="S1" s="67"/>
      <c r="T1" s="79"/>
      <c r="U1" s="67"/>
      <c r="V1" s="67"/>
      <c r="W1" s="67"/>
      <c r="X1" s="79"/>
      <c r="Y1" s="67"/>
      <c r="Z1" s="67"/>
      <c r="AA1" s="67"/>
      <c r="AB1" s="79"/>
      <c r="AC1" s="67"/>
      <c r="AD1" s="67"/>
      <c r="AE1" s="67"/>
      <c r="AF1" s="79"/>
      <c r="AG1" s="783"/>
      <c r="AH1" s="67"/>
      <c r="AI1" s="67"/>
      <c r="AJ1" s="79"/>
      <c r="AK1" s="67"/>
      <c r="AL1" s="67"/>
      <c r="AM1" s="67"/>
      <c r="AN1" s="79"/>
      <c r="AO1" s="67"/>
      <c r="AP1" s="67"/>
    </row>
    <row r="2" spans="1:42" ht="11" thickTop="1" thickBot="1">
      <c r="A2" s="823" t="s">
        <v>198</v>
      </c>
      <c r="B2" s="576"/>
      <c r="P2" s="80"/>
      <c r="T2" s="80"/>
      <c r="X2" s="80"/>
      <c r="AB2" s="80"/>
      <c r="AF2" s="80"/>
      <c r="AG2" s="652" t="s">
        <v>966</v>
      </c>
      <c r="AJ2" s="80"/>
      <c r="AK2" s="755" t="s">
        <v>965</v>
      </c>
      <c r="AN2" s="80"/>
      <c r="AO2" s="755"/>
    </row>
    <row r="3" spans="1:42" ht="12" thickTop="1">
      <c r="A3" s="65" t="s">
        <v>13</v>
      </c>
      <c r="B3" s="60">
        <v>2015</v>
      </c>
      <c r="C3" s="60">
        <v>2016</v>
      </c>
      <c r="D3" s="60">
        <v>2017</v>
      </c>
      <c r="E3" s="60">
        <v>2018</v>
      </c>
      <c r="F3" s="60">
        <v>2019</v>
      </c>
      <c r="G3" s="60">
        <v>2020</v>
      </c>
      <c r="H3" s="60">
        <v>2021</v>
      </c>
      <c r="I3" s="60">
        <v>2022</v>
      </c>
      <c r="J3" s="60">
        <v>2023</v>
      </c>
      <c r="K3" s="60">
        <v>2024</v>
      </c>
      <c r="M3" s="60" t="s">
        <v>764</v>
      </c>
      <c r="N3" s="60" t="s">
        <v>765</v>
      </c>
      <c r="O3" s="60" t="s">
        <v>766</v>
      </c>
      <c r="P3" s="81" t="s">
        <v>767</v>
      </c>
      <c r="Q3" s="60" t="s">
        <v>768</v>
      </c>
      <c r="R3" s="60" t="s">
        <v>730</v>
      </c>
      <c r="S3" s="60" t="s">
        <v>731</v>
      </c>
      <c r="T3" s="81" t="s">
        <v>732</v>
      </c>
      <c r="U3" s="60" t="s">
        <v>733</v>
      </c>
      <c r="V3" s="60" t="s">
        <v>626</v>
      </c>
      <c r="W3" s="60" t="s">
        <v>620</v>
      </c>
      <c r="X3" s="81" t="s">
        <v>619</v>
      </c>
      <c r="Y3" s="60" t="s">
        <v>614</v>
      </c>
      <c r="Z3" s="60" t="s">
        <v>604</v>
      </c>
      <c r="AA3" s="60" t="s">
        <v>589</v>
      </c>
      <c r="AB3" s="81" t="s">
        <v>587</v>
      </c>
      <c r="AC3" s="60" t="s">
        <v>504</v>
      </c>
      <c r="AD3" s="60" t="s">
        <v>551</v>
      </c>
      <c r="AE3" s="60" t="s">
        <v>532</v>
      </c>
      <c r="AF3" s="81" t="s">
        <v>530</v>
      </c>
      <c r="AG3" s="60" t="s">
        <v>803</v>
      </c>
      <c r="AH3" s="60" t="s">
        <v>812</v>
      </c>
      <c r="AI3" s="60" t="s">
        <v>816</v>
      </c>
      <c r="AJ3" s="81" t="s">
        <v>835</v>
      </c>
      <c r="AK3" s="60" t="s">
        <v>872</v>
      </c>
      <c r="AL3" s="60" t="s">
        <v>986</v>
      </c>
      <c r="AM3" s="60" t="s">
        <v>1016</v>
      </c>
      <c r="AN3" s="81" t="s">
        <v>1039</v>
      </c>
      <c r="AO3" s="60" t="s">
        <v>1076</v>
      </c>
      <c r="AP3" s="60" t="s">
        <v>1285</v>
      </c>
    </row>
    <row r="4" spans="1:42">
      <c r="A4" s="23" t="s">
        <v>106</v>
      </c>
      <c r="B4" s="47">
        <v>27646</v>
      </c>
      <c r="C4" s="47">
        <v>27551</v>
      </c>
      <c r="D4" s="47">
        <v>27634</v>
      </c>
      <c r="E4" s="47">
        <v>33830.761604197898</v>
      </c>
      <c r="F4" s="47">
        <v>39400</v>
      </c>
      <c r="G4" s="47">
        <v>39492</v>
      </c>
      <c r="H4" s="47">
        <v>36579</v>
      </c>
      <c r="I4" s="47">
        <v>45648</v>
      </c>
      <c r="J4" s="47">
        <v>53222</v>
      </c>
      <c r="K4" s="47">
        <v>58899</v>
      </c>
      <c r="M4" s="47">
        <v>8520</v>
      </c>
      <c r="N4" s="47">
        <v>8662</v>
      </c>
      <c r="O4" s="47">
        <v>8591</v>
      </c>
      <c r="P4" s="82">
        <v>8058</v>
      </c>
      <c r="Q4" s="47">
        <v>10036</v>
      </c>
      <c r="R4" s="47">
        <v>10483</v>
      </c>
      <c r="S4" s="47">
        <v>9413</v>
      </c>
      <c r="T4" s="82">
        <v>9468</v>
      </c>
      <c r="U4" s="47">
        <v>10063</v>
      </c>
      <c r="V4" s="47">
        <v>10553</v>
      </c>
      <c r="W4" s="47">
        <v>9600</v>
      </c>
      <c r="X4" s="82">
        <v>9276</v>
      </c>
      <c r="Y4" s="47">
        <v>9772</v>
      </c>
      <c r="Z4" s="47">
        <v>8105</v>
      </c>
      <c r="AA4" s="47">
        <v>9373</v>
      </c>
      <c r="AB4" s="82">
        <v>9328.7539173412988</v>
      </c>
      <c r="AC4" s="47">
        <v>10690</v>
      </c>
      <c r="AD4" s="47">
        <v>11070.2641415608</v>
      </c>
      <c r="AE4" s="47">
        <v>12244.811463370999</v>
      </c>
      <c r="AF4" s="82">
        <v>11643.1579745823</v>
      </c>
      <c r="AG4" s="47">
        <v>13817.9803940854</v>
      </c>
      <c r="AH4" s="47">
        <v>13377</v>
      </c>
      <c r="AI4" s="47">
        <v>12322.0537678564</v>
      </c>
      <c r="AJ4" s="82">
        <v>13704.5692464232</v>
      </c>
      <c r="AK4" s="47">
        <v>14715</v>
      </c>
      <c r="AL4" s="47">
        <v>15436.263962106099</v>
      </c>
      <c r="AM4" s="47">
        <v>14359.8582558573</v>
      </c>
      <c r="AN4" s="82">
        <v>14388.595843134801</v>
      </c>
      <c r="AO4" s="47">
        <v>14161.679516402201</v>
      </c>
      <c r="AP4" s="47">
        <v>16349.3402820848</v>
      </c>
    </row>
    <row r="5" spans="1:42">
      <c r="A5" s="19" t="s">
        <v>68</v>
      </c>
      <c r="B5" s="20">
        <v>-6.6</v>
      </c>
      <c r="C5" s="20">
        <v>2.7</v>
      </c>
      <c r="D5" s="20">
        <v>20.100000000000001</v>
      </c>
      <c r="E5" s="20">
        <v>13</v>
      </c>
      <c r="F5" s="20">
        <v>-5</v>
      </c>
      <c r="G5" s="20">
        <v>0</v>
      </c>
      <c r="H5" s="20">
        <v>26</v>
      </c>
      <c r="I5" s="20">
        <v>2</v>
      </c>
      <c r="J5" s="20">
        <v>1.01</v>
      </c>
      <c r="K5" s="20">
        <v>3.01</v>
      </c>
      <c r="M5" s="20">
        <v>21</v>
      </c>
      <c r="N5" s="20">
        <v>18.082810848828263</v>
      </c>
      <c r="O5" s="20">
        <v>3</v>
      </c>
      <c r="P5" s="83">
        <v>11.497999999999999</v>
      </c>
      <c r="Q5" s="20">
        <v>-5</v>
      </c>
      <c r="R5" s="20">
        <v>-4</v>
      </c>
      <c r="S5" s="20">
        <v>-6</v>
      </c>
      <c r="T5" s="83">
        <v>-7</v>
      </c>
      <c r="U5" s="20">
        <v>-4</v>
      </c>
      <c r="V5" s="20">
        <v>-17</v>
      </c>
      <c r="W5" s="20">
        <v>10</v>
      </c>
      <c r="X5" s="83">
        <v>13</v>
      </c>
      <c r="Y5" s="20">
        <v>21</v>
      </c>
      <c r="Z5" s="20">
        <v>45</v>
      </c>
      <c r="AA5" s="20">
        <v>24</v>
      </c>
      <c r="AB5" s="83">
        <v>19</v>
      </c>
      <c r="AC5" s="20">
        <v>18</v>
      </c>
      <c r="AD5" s="20">
        <v>6</v>
      </c>
      <c r="AE5" s="20">
        <v>-10</v>
      </c>
      <c r="AF5" s="83">
        <v>-4</v>
      </c>
      <c r="AG5" s="20">
        <v>-6</v>
      </c>
      <c r="AH5" s="20">
        <v>-1</v>
      </c>
      <c r="AI5" s="20">
        <v>9</v>
      </c>
      <c r="AJ5" s="83">
        <v>7</v>
      </c>
      <c r="AK5" s="20">
        <v>-3</v>
      </c>
      <c r="AL5" s="20">
        <v>1</v>
      </c>
      <c r="AM5" s="20">
        <v>6</v>
      </c>
      <c r="AN5" s="83">
        <v>5</v>
      </c>
      <c r="AO5" s="20">
        <v>10</v>
      </c>
      <c r="AP5" s="20">
        <v>2</v>
      </c>
    </row>
    <row r="6" spans="1:42">
      <c r="A6" s="19" t="s">
        <v>32</v>
      </c>
      <c r="B6" s="20">
        <v>7</v>
      </c>
      <c r="C6" s="20">
        <v>-3</v>
      </c>
      <c r="D6" s="20">
        <v>1</v>
      </c>
      <c r="E6" s="20">
        <v>0.7855044858816459</v>
      </c>
      <c r="F6" s="20">
        <v>3</v>
      </c>
      <c r="G6" s="20">
        <v>-6.7189250363655866</v>
      </c>
      <c r="H6" s="20">
        <v>-4</v>
      </c>
      <c r="I6" s="20">
        <v>10</v>
      </c>
      <c r="J6" s="20">
        <v>2.6744536347260435</v>
      </c>
      <c r="K6" s="20">
        <v>-1.8829422828553199</v>
      </c>
      <c r="M6" s="20">
        <v>-5.0006651971129985</v>
      </c>
      <c r="N6" s="20">
        <v>0.56138213551789884</v>
      </c>
      <c r="O6" s="20">
        <v>4.7578784084824957</v>
      </c>
      <c r="P6" s="83">
        <v>2.9091995892098454</v>
      </c>
      <c r="Q6" s="20">
        <v>3.7039007808507058</v>
      </c>
      <c r="R6" s="20">
        <v>2.1960492727564551</v>
      </c>
      <c r="S6" s="20">
        <v>5.2922196797234209</v>
      </c>
      <c r="T6" s="83">
        <v>3</v>
      </c>
      <c r="U6" s="20">
        <v>1</v>
      </c>
      <c r="V6" s="20">
        <v>-4.7290107343320242</v>
      </c>
      <c r="W6" s="20">
        <v>-11.745705381093344</v>
      </c>
      <c r="X6" s="83">
        <v>-11.894324453671517</v>
      </c>
      <c r="Y6" s="20">
        <v>-11.731869674386317</v>
      </c>
      <c r="Z6" s="20">
        <v>-9.2789792138925886</v>
      </c>
      <c r="AA6" s="20">
        <v>0.29767043740941102</v>
      </c>
      <c r="AB6" s="83">
        <v>2.4809461586630928</v>
      </c>
      <c r="AC6" s="20">
        <v>8.1065017481339012</v>
      </c>
      <c r="AD6" s="20">
        <v>10.130719401744145</v>
      </c>
      <c r="AE6" s="20">
        <v>11.724106130227199</v>
      </c>
      <c r="AF6" s="83">
        <v>10.72074560970999</v>
      </c>
      <c r="AG6" s="20">
        <v>5.9870067219651055</v>
      </c>
      <c r="AH6" s="20">
        <v>4</v>
      </c>
      <c r="AI6" s="20">
        <v>1.4545478110901222</v>
      </c>
      <c r="AJ6" s="83">
        <v>-0.81350660109677964</v>
      </c>
      <c r="AK6" s="20">
        <v>-3</v>
      </c>
      <c r="AL6" s="20">
        <v>-1.2381446821731008</v>
      </c>
      <c r="AM6" s="20">
        <v>-3.8815506337488594</v>
      </c>
      <c r="AN6" s="83">
        <v>0.45511524884192445</v>
      </c>
      <c r="AO6" s="20">
        <v>8.2374768677602669E-2</v>
      </c>
      <c r="AP6" s="20">
        <v>-9.244485117990882</v>
      </c>
    </row>
    <row r="7" spans="1:42">
      <c r="A7" s="19" t="s">
        <v>114</v>
      </c>
      <c r="B7" s="20">
        <v>0</v>
      </c>
      <c r="C7" s="20">
        <v>0</v>
      </c>
      <c r="D7" s="20">
        <v>0.5</v>
      </c>
      <c r="E7" s="20">
        <v>2.3786044470844803</v>
      </c>
      <c r="F7" s="20">
        <v>2</v>
      </c>
      <c r="G7" s="20">
        <v>-0.47440658721220219</v>
      </c>
      <c r="H7" s="20">
        <v>3</v>
      </c>
      <c r="I7" s="20">
        <v>5</v>
      </c>
      <c r="J7" s="20">
        <v>7.0190001789503489</v>
      </c>
      <c r="K7" s="20">
        <v>5.0580357046126085</v>
      </c>
      <c r="M7" s="20">
        <v>2</v>
      </c>
      <c r="N7" s="20">
        <v>2</v>
      </c>
      <c r="O7" s="20">
        <v>2.3245553488429764</v>
      </c>
      <c r="P7" s="83">
        <v>2.6333957413602187</v>
      </c>
      <c r="Q7" s="20">
        <v>0.9007556406024837</v>
      </c>
      <c r="R7" s="20">
        <v>2.6270881299855229</v>
      </c>
      <c r="S7" s="20">
        <v>2.9736885282500731</v>
      </c>
      <c r="T7" s="83">
        <v>2</v>
      </c>
      <c r="U7" s="20">
        <v>0</v>
      </c>
      <c r="V7" s="20">
        <v>-1.2140496993896299</v>
      </c>
      <c r="W7" s="20">
        <v>-0.38032844821663953</v>
      </c>
      <c r="X7" s="83">
        <v>-0.1446549208631788</v>
      </c>
      <c r="Y7" s="20">
        <v>3.7656588427327553E-2</v>
      </c>
      <c r="Z7" s="20">
        <v>1.0818779687451732</v>
      </c>
      <c r="AA7" s="20">
        <v>7.1849056103045328</v>
      </c>
      <c r="AB7" s="83">
        <v>3.9567554397726101</v>
      </c>
      <c r="AC7" s="20">
        <v>3.4230681260333489</v>
      </c>
      <c r="AD7" s="20">
        <v>5.0316475224065078</v>
      </c>
      <c r="AE7" s="20">
        <v>-0.85373986439902616</v>
      </c>
      <c r="AF7" s="83">
        <v>11.411015471735571</v>
      </c>
      <c r="AG7" s="791">
        <v>10.084783483938612</v>
      </c>
      <c r="AH7" s="20">
        <v>12</v>
      </c>
      <c r="AI7" s="20">
        <v>7.0472157125050749</v>
      </c>
      <c r="AJ7" s="83">
        <v>-1.060222957981857</v>
      </c>
      <c r="AK7" s="20">
        <v>2</v>
      </c>
      <c r="AL7" s="20">
        <v>5.7061181396630092</v>
      </c>
      <c r="AM7" s="20">
        <v>5.8810752023128625</v>
      </c>
      <c r="AN7" s="83">
        <v>7.1153617086825314</v>
      </c>
      <c r="AO7" s="20">
        <v>7.3344148831252296</v>
      </c>
      <c r="AP7" s="20">
        <v>0.49531004580861149</v>
      </c>
    </row>
    <row r="8" spans="1:42">
      <c r="A8" s="21" t="s">
        <v>33</v>
      </c>
      <c r="B8" s="44">
        <v>0</v>
      </c>
      <c r="C8" s="44">
        <v>0</v>
      </c>
      <c r="D8" s="44">
        <v>22</v>
      </c>
      <c r="E8" s="44">
        <v>16</v>
      </c>
      <c r="F8" s="44">
        <v>0</v>
      </c>
      <c r="G8" s="44">
        <v>-7</v>
      </c>
      <c r="H8" s="44">
        <v>25</v>
      </c>
      <c r="I8" s="44">
        <v>17</v>
      </c>
      <c r="J8" s="44">
        <v>11</v>
      </c>
      <c r="K8" s="44">
        <v>6</v>
      </c>
      <c r="M8" s="44">
        <v>18</v>
      </c>
      <c r="N8" s="44">
        <v>21</v>
      </c>
      <c r="O8" s="44">
        <v>10</v>
      </c>
      <c r="P8" s="84">
        <v>17.498000000000001</v>
      </c>
      <c r="Q8" s="44">
        <v>0</v>
      </c>
      <c r="R8" s="44">
        <v>1</v>
      </c>
      <c r="S8" s="44">
        <v>2</v>
      </c>
      <c r="T8" s="84">
        <v>-2</v>
      </c>
      <c r="U8" s="44">
        <v>-3</v>
      </c>
      <c r="V8" s="44">
        <v>-23</v>
      </c>
      <c r="W8" s="44">
        <v>-2</v>
      </c>
      <c r="X8" s="84">
        <v>1</v>
      </c>
      <c r="Y8" s="44">
        <v>9</v>
      </c>
      <c r="Z8" s="44">
        <v>37</v>
      </c>
      <c r="AA8" s="44">
        <v>31</v>
      </c>
      <c r="AB8" s="84">
        <v>25</v>
      </c>
      <c r="AC8" s="44">
        <v>29</v>
      </c>
      <c r="AD8" s="44">
        <v>21</v>
      </c>
      <c r="AE8" s="44">
        <v>1</v>
      </c>
      <c r="AF8" s="84">
        <v>18</v>
      </c>
      <c r="AG8" s="792">
        <v>10</v>
      </c>
      <c r="AH8" s="44">
        <v>15</v>
      </c>
      <c r="AI8" s="44">
        <v>17</v>
      </c>
      <c r="AJ8" s="84">
        <v>5</v>
      </c>
      <c r="AK8" s="44">
        <v>-4</v>
      </c>
      <c r="AL8" s="44">
        <v>6</v>
      </c>
      <c r="AM8" s="44">
        <v>8</v>
      </c>
      <c r="AN8" s="84">
        <v>12</v>
      </c>
      <c r="AO8" s="44">
        <v>17</v>
      </c>
      <c r="AP8" s="44">
        <v>-7</v>
      </c>
    </row>
    <row r="9" spans="1:42">
      <c r="A9" s="19" t="s">
        <v>107</v>
      </c>
      <c r="B9" s="47">
        <v>27551</v>
      </c>
      <c r="C9" s="47">
        <v>27634</v>
      </c>
      <c r="D9" s="47">
        <v>33831</v>
      </c>
      <c r="E9" s="47">
        <v>39400.1129006642</v>
      </c>
      <c r="F9" s="47">
        <v>39492</v>
      </c>
      <c r="G9" s="47">
        <v>36579</v>
      </c>
      <c r="H9" s="47">
        <v>45648</v>
      </c>
      <c r="I9" s="47">
        <v>53222</v>
      </c>
      <c r="J9" s="47">
        <v>59332</v>
      </c>
      <c r="K9" s="47">
        <v>62213</v>
      </c>
      <c r="M9" s="47">
        <v>10036</v>
      </c>
      <c r="N9" s="47">
        <v>10483</v>
      </c>
      <c r="O9" s="47">
        <v>9413</v>
      </c>
      <c r="P9" s="82">
        <v>9468</v>
      </c>
      <c r="Q9" s="47">
        <v>10063</v>
      </c>
      <c r="R9" s="47">
        <v>10553</v>
      </c>
      <c r="S9" s="47">
        <v>9600</v>
      </c>
      <c r="T9" s="82">
        <v>9276</v>
      </c>
      <c r="U9" s="47">
        <v>9772</v>
      </c>
      <c r="V9" s="47">
        <v>8105</v>
      </c>
      <c r="W9" s="47">
        <v>9373</v>
      </c>
      <c r="X9" s="400">
        <v>9330</v>
      </c>
      <c r="Y9" s="47">
        <v>10690</v>
      </c>
      <c r="Z9" s="47">
        <v>11070</v>
      </c>
      <c r="AA9" s="47">
        <v>12245</v>
      </c>
      <c r="AB9" s="400">
        <v>11643.1579745824</v>
      </c>
      <c r="AC9" s="47">
        <v>13818</v>
      </c>
      <c r="AD9" s="47">
        <v>13377.400910480101</v>
      </c>
      <c r="AE9" s="47">
        <v>12322.0537678566</v>
      </c>
      <c r="AF9" s="400">
        <v>13705</v>
      </c>
      <c r="AG9" s="793">
        <v>15147.6012657669</v>
      </c>
      <c r="AH9" s="47">
        <v>15436</v>
      </c>
      <c r="AI9" s="47">
        <v>14359.8582558577</v>
      </c>
      <c r="AJ9" s="400">
        <v>14388.3958431346</v>
      </c>
      <c r="AK9" s="47">
        <v>14162</v>
      </c>
      <c r="AL9" s="47">
        <v>16349.340282084901</v>
      </c>
      <c r="AM9" s="47">
        <v>15519.6168080795</v>
      </c>
      <c r="AN9" s="400">
        <v>16182.216636987199</v>
      </c>
      <c r="AO9" s="47">
        <v>16585.737469056799</v>
      </c>
      <c r="AP9" s="47">
        <v>15276.1072730092</v>
      </c>
    </row>
    <row r="10" spans="1:42">
      <c r="A10" s="461" t="s">
        <v>489</v>
      </c>
      <c r="B10" s="47"/>
      <c r="C10" s="47"/>
      <c r="D10" s="47"/>
      <c r="E10" s="47"/>
      <c r="F10" s="47"/>
      <c r="G10" s="47"/>
      <c r="H10" s="47"/>
      <c r="I10" s="47"/>
      <c r="J10" s="47"/>
      <c r="K10" s="47"/>
      <c r="M10" s="47"/>
      <c r="N10" s="47"/>
      <c r="O10" s="47"/>
      <c r="P10" s="82"/>
      <c r="Q10" s="47"/>
      <c r="R10" s="47"/>
      <c r="S10" s="47"/>
      <c r="T10" s="82"/>
      <c r="U10" s="47"/>
      <c r="V10" s="47"/>
      <c r="W10" s="47"/>
      <c r="X10" s="400"/>
      <c r="Y10" s="47"/>
      <c r="Z10" s="47"/>
      <c r="AA10" s="47"/>
      <c r="AB10" s="400"/>
      <c r="AC10" s="47">
        <v>13</v>
      </c>
      <c r="AD10" s="47">
        <v>-10</v>
      </c>
      <c r="AE10" s="41">
        <v>-12</v>
      </c>
      <c r="AF10" s="400">
        <v>4</v>
      </c>
      <c r="AG10" s="47">
        <v>12</v>
      </c>
      <c r="AH10" s="47">
        <v>-2</v>
      </c>
      <c r="AI10" s="47">
        <v>-7</v>
      </c>
      <c r="AJ10" s="400">
        <v>3</v>
      </c>
      <c r="AK10" s="47">
        <v>2</v>
      </c>
      <c r="AL10" s="41">
        <v>5</v>
      </c>
      <c r="AM10" s="41">
        <v>-3</v>
      </c>
      <c r="AN10" s="400">
        <v>2</v>
      </c>
      <c r="AO10" s="47">
        <v>5.6</v>
      </c>
      <c r="AP10" s="919">
        <v>1.3</v>
      </c>
    </row>
    <row r="11" spans="1:42" ht="10.5">
      <c r="A11" s="704" t="s">
        <v>912</v>
      </c>
      <c r="B11" s="705"/>
      <c r="C11" s="705"/>
      <c r="D11" s="705"/>
      <c r="E11" s="705"/>
      <c r="F11" s="705"/>
      <c r="G11" s="705"/>
      <c r="H11" s="705"/>
      <c r="I11" s="705"/>
      <c r="J11" s="705"/>
      <c r="K11" s="705"/>
      <c r="L11" s="107"/>
      <c r="M11" s="705"/>
      <c r="N11" s="705"/>
      <c r="O11" s="705"/>
      <c r="P11" s="706"/>
      <c r="Q11" s="705"/>
      <c r="R11" s="705"/>
      <c r="S11" s="705"/>
      <c r="T11" s="706"/>
      <c r="U11" s="705"/>
      <c r="V11" s="705"/>
      <c r="W11" s="705"/>
      <c r="X11" s="706"/>
      <c r="Y11" s="705"/>
      <c r="Z11" s="705"/>
      <c r="AA11" s="710" t="s">
        <v>903</v>
      </c>
      <c r="AB11" s="711"/>
      <c r="AC11" s="711"/>
      <c r="AD11" s="712" t="s">
        <v>905</v>
      </c>
      <c r="AE11" s="712"/>
      <c r="AF11" s="712" t="s">
        <v>906</v>
      </c>
      <c r="AG11" s="784" t="s">
        <v>907</v>
      </c>
      <c r="AH11" s="784"/>
      <c r="AI11" s="784"/>
      <c r="AJ11" s="785"/>
      <c r="AK11" s="705"/>
      <c r="AL11" s="712"/>
      <c r="AM11" s="712"/>
      <c r="AN11" s="785"/>
      <c r="AO11" s="705"/>
      <c r="AP11" s="712"/>
    </row>
    <row r="12" spans="1:42">
      <c r="A12" s="19"/>
      <c r="B12" s="20"/>
      <c r="C12" s="20"/>
      <c r="M12" s="20"/>
      <c r="N12" s="20"/>
      <c r="O12" s="20"/>
      <c r="P12" s="83"/>
      <c r="Q12" s="20"/>
      <c r="R12" s="20"/>
      <c r="S12" s="20"/>
      <c r="T12" s="83"/>
      <c r="U12" s="20"/>
      <c r="V12" s="20"/>
      <c r="W12" s="20"/>
      <c r="X12" s="83"/>
      <c r="Y12" s="20"/>
      <c r="Z12" s="20"/>
      <c r="AA12" s="20"/>
      <c r="AB12" s="83"/>
      <c r="AC12" s="20"/>
      <c r="AD12" s="20"/>
      <c r="AE12" s="20"/>
      <c r="AF12" s="83"/>
      <c r="AG12" s="20"/>
      <c r="AH12" s="47"/>
      <c r="AI12" s="47"/>
      <c r="AJ12" s="83"/>
      <c r="AK12" s="20"/>
      <c r="AL12" s="20"/>
      <c r="AM12" s="20"/>
      <c r="AN12" s="83"/>
      <c r="AO12" s="20"/>
      <c r="AP12" s="20"/>
    </row>
    <row r="13" spans="1:42" ht="10.5">
      <c r="A13" s="753" t="s">
        <v>70</v>
      </c>
      <c r="B13" s="596">
        <v>2015</v>
      </c>
      <c r="C13" s="596">
        <v>2016</v>
      </c>
      <c r="D13" s="596">
        <v>2017</v>
      </c>
      <c r="E13" s="596">
        <v>2018</v>
      </c>
      <c r="F13" s="596">
        <v>2019</v>
      </c>
      <c r="G13" s="596">
        <v>2020</v>
      </c>
      <c r="H13" s="596">
        <v>2021</v>
      </c>
      <c r="I13" s="596">
        <v>2022</v>
      </c>
      <c r="J13" s="596">
        <v>2023</v>
      </c>
      <c r="K13" s="596">
        <v>2024</v>
      </c>
      <c r="L13" s="459"/>
      <c r="M13" s="596" t="s">
        <v>764</v>
      </c>
      <c r="N13" s="596" t="s">
        <v>765</v>
      </c>
      <c r="O13" s="596" t="s">
        <v>766</v>
      </c>
      <c r="P13" s="599" t="s">
        <v>767</v>
      </c>
      <c r="Q13" s="596" t="s">
        <v>768</v>
      </c>
      <c r="R13" s="596" t="s">
        <v>730</v>
      </c>
      <c r="S13" s="596" t="s">
        <v>731</v>
      </c>
      <c r="T13" s="599" t="s">
        <v>732</v>
      </c>
      <c r="U13" s="596" t="s">
        <v>733</v>
      </c>
      <c r="V13" s="596" t="s">
        <v>626</v>
      </c>
      <c r="W13" s="596" t="s">
        <v>620</v>
      </c>
      <c r="X13" s="599" t="s">
        <v>619</v>
      </c>
      <c r="Y13" s="596" t="s">
        <v>614</v>
      </c>
      <c r="Z13" s="596" t="s">
        <v>604</v>
      </c>
      <c r="AA13" s="596" t="s">
        <v>589</v>
      </c>
      <c r="AB13" s="599" t="s">
        <v>587</v>
      </c>
      <c r="AC13" s="596" t="s">
        <v>504</v>
      </c>
      <c r="AD13" s="596" t="s">
        <v>551</v>
      </c>
      <c r="AE13" s="596" t="s">
        <v>532</v>
      </c>
      <c r="AF13" s="599" t="s">
        <v>530</v>
      </c>
      <c r="AG13" s="596" t="s">
        <v>803</v>
      </c>
      <c r="AH13" s="596" t="s">
        <v>812</v>
      </c>
      <c r="AI13" s="596" t="s">
        <v>816</v>
      </c>
      <c r="AJ13" s="599" t="s">
        <v>835</v>
      </c>
      <c r="AK13" s="596" t="s">
        <v>872</v>
      </c>
      <c r="AL13" s="596" t="s">
        <v>986</v>
      </c>
      <c r="AM13" s="596" t="s">
        <v>1016</v>
      </c>
      <c r="AN13" s="599" t="s">
        <v>1039</v>
      </c>
      <c r="AO13" s="596" t="s">
        <v>1076</v>
      </c>
      <c r="AP13" s="596" t="s">
        <v>1285</v>
      </c>
    </row>
    <row r="14" spans="1:42">
      <c r="A14" s="23" t="s">
        <v>106</v>
      </c>
      <c r="B14" s="47">
        <v>19524</v>
      </c>
      <c r="C14" s="47">
        <v>19213</v>
      </c>
      <c r="D14" s="47">
        <v>19413</v>
      </c>
      <c r="E14" s="47">
        <v>24573.604511091697</v>
      </c>
      <c r="F14" s="47">
        <v>29695</v>
      </c>
      <c r="G14" s="47">
        <v>28509</v>
      </c>
      <c r="H14" s="47">
        <v>27252</v>
      </c>
      <c r="I14" s="47">
        <v>34513</v>
      </c>
      <c r="J14" s="47">
        <v>42691</v>
      </c>
      <c r="K14" s="47">
        <v>46678</v>
      </c>
      <c r="M14" s="47">
        <v>6200</v>
      </c>
      <c r="N14" s="47">
        <v>6323</v>
      </c>
      <c r="O14" s="47">
        <v>6263</v>
      </c>
      <c r="P14" s="82">
        <v>5788</v>
      </c>
      <c r="Q14" s="47">
        <v>7442</v>
      </c>
      <c r="R14" s="47">
        <v>7947</v>
      </c>
      <c r="S14" s="47">
        <v>7190</v>
      </c>
      <c r="T14" s="82">
        <v>7116</v>
      </c>
      <c r="U14" s="47">
        <v>7248</v>
      </c>
      <c r="V14" s="47">
        <v>7677</v>
      </c>
      <c r="W14" s="47">
        <v>6874</v>
      </c>
      <c r="X14" s="82">
        <v>6710</v>
      </c>
      <c r="Y14" s="47">
        <v>7101</v>
      </c>
      <c r="Z14" s="47">
        <v>6129</v>
      </c>
      <c r="AA14" s="47">
        <v>7068</v>
      </c>
      <c r="AB14" s="82">
        <v>6953.7317741347997</v>
      </c>
      <c r="AC14" s="47">
        <v>7991</v>
      </c>
      <c r="AD14" s="47">
        <v>8386.6407264833997</v>
      </c>
      <c r="AE14" s="47">
        <v>9336.3862631517004</v>
      </c>
      <c r="AF14" s="82">
        <v>8798.6758246157005</v>
      </c>
      <c r="AG14" s="47">
        <v>10839.9189195621</v>
      </c>
      <c r="AH14" s="47">
        <v>10897</v>
      </c>
      <c r="AI14" s="47">
        <v>9790.7239444646002</v>
      </c>
      <c r="AJ14" s="82">
        <v>11163.2592285675</v>
      </c>
      <c r="AK14" s="47">
        <v>11539</v>
      </c>
      <c r="AL14" s="47">
        <v>12275.685550455</v>
      </c>
      <c r="AM14" s="47">
        <v>11310.67786046</v>
      </c>
      <c r="AN14" s="82">
        <v>11551.576897335101</v>
      </c>
      <c r="AO14" s="47">
        <v>11025.0502131555</v>
      </c>
      <c r="AP14" s="47">
        <v>12387.9736662832</v>
      </c>
    </row>
    <row r="15" spans="1:42">
      <c r="A15" s="19" t="s">
        <v>68</v>
      </c>
      <c r="B15" s="20">
        <v>-7.3</v>
      </c>
      <c r="C15" s="20">
        <v>3.6</v>
      </c>
      <c r="D15" s="20">
        <v>24.4</v>
      </c>
      <c r="E15" s="20">
        <v>17</v>
      </c>
      <c r="F15" s="20">
        <v>-6</v>
      </c>
      <c r="G15" s="20">
        <v>3</v>
      </c>
      <c r="H15" s="20">
        <v>29</v>
      </c>
      <c r="I15" s="20">
        <v>3</v>
      </c>
      <c r="J15" s="20">
        <v>2</v>
      </c>
      <c r="K15" s="20">
        <v>4</v>
      </c>
      <c r="M15" s="20">
        <v>22</v>
      </c>
      <c r="N15" s="20">
        <v>22.467917901876827</v>
      </c>
      <c r="O15" s="20">
        <v>7</v>
      </c>
      <c r="P15" s="83">
        <v>17</v>
      </c>
      <c r="Q15" s="20">
        <v>-5</v>
      </c>
      <c r="R15" s="20">
        <v>-4</v>
      </c>
      <c r="S15" s="20">
        <v>-8</v>
      </c>
      <c r="T15" s="83">
        <v>-7</v>
      </c>
      <c r="U15" s="20">
        <v>-3</v>
      </c>
      <c r="V15" s="20">
        <v>-15</v>
      </c>
      <c r="W15" s="20">
        <v>15</v>
      </c>
      <c r="X15" s="83">
        <v>16</v>
      </c>
      <c r="Y15" s="20">
        <v>25</v>
      </c>
      <c r="Z15" s="20">
        <v>46</v>
      </c>
      <c r="AA15" s="20">
        <v>26</v>
      </c>
      <c r="AB15" s="83">
        <v>20</v>
      </c>
      <c r="AC15" s="20">
        <v>20</v>
      </c>
      <c r="AD15" s="20">
        <v>10</v>
      </c>
      <c r="AE15" s="20">
        <v>-10</v>
      </c>
      <c r="AF15" s="83">
        <v>-2</v>
      </c>
      <c r="AG15" s="20">
        <v>-5</v>
      </c>
      <c r="AH15" s="20" t="s">
        <v>814</v>
      </c>
      <c r="AI15" s="20">
        <v>9</v>
      </c>
      <c r="AJ15" s="83">
        <v>8</v>
      </c>
      <c r="AK15" s="20">
        <v>-2</v>
      </c>
      <c r="AL15" s="20">
        <v>3</v>
      </c>
      <c r="AM15" s="20">
        <v>9</v>
      </c>
      <c r="AN15" s="83">
        <v>5</v>
      </c>
      <c r="AO15" s="20">
        <v>12</v>
      </c>
      <c r="AP15" s="20">
        <v>2</v>
      </c>
    </row>
    <row r="16" spans="1:42">
      <c r="A16" s="19" t="s">
        <v>32</v>
      </c>
      <c r="B16" s="20">
        <v>5</v>
      </c>
      <c r="C16" s="20">
        <v>-3</v>
      </c>
      <c r="D16" s="20">
        <v>3</v>
      </c>
      <c r="E16" s="20">
        <v>0.66237745083807753</v>
      </c>
      <c r="F16" s="20">
        <v>3</v>
      </c>
      <c r="G16" s="20">
        <v>-7.0310880804713483</v>
      </c>
      <c r="H16" s="20">
        <v>-4.6286371381934766</v>
      </c>
      <c r="I16" s="20">
        <v>11</v>
      </c>
      <c r="J16" s="20">
        <v>2.8533144099895478</v>
      </c>
      <c r="K16" s="20">
        <v>-2.0500040864303157</v>
      </c>
      <c r="M16" s="20">
        <v>-5.1304052989387516</v>
      </c>
      <c r="N16" s="20">
        <v>0.19812560689927411</v>
      </c>
      <c r="O16" s="20">
        <v>4.8947207129841832</v>
      </c>
      <c r="P16" s="83">
        <v>2.7956695685291799</v>
      </c>
      <c r="Q16" s="20">
        <v>3.4903278477988962</v>
      </c>
      <c r="R16" s="20">
        <v>2.1165668504519091</v>
      </c>
      <c r="S16" s="20">
        <v>5.1949975808167173</v>
      </c>
      <c r="T16" s="83">
        <v>2</v>
      </c>
      <c r="U16" s="20">
        <v>1</v>
      </c>
      <c r="V16" s="20">
        <v>-5.019294441943229</v>
      </c>
      <c r="W16" s="20">
        <v>-12.248003268346677</v>
      </c>
      <c r="X16" s="83">
        <v>-12.216517461630927</v>
      </c>
      <c r="Y16" s="20">
        <v>-11.859950547910099</v>
      </c>
      <c r="Z16" s="20">
        <v>-9.8990701805958352</v>
      </c>
      <c r="AA16" s="20">
        <v>-0.3087028222808193</v>
      </c>
      <c r="AB16" s="83">
        <v>3.0074112323258251</v>
      </c>
      <c r="AC16" s="20">
        <v>8.3194778673484748</v>
      </c>
      <c r="AD16" s="20">
        <v>10.506812068407077</v>
      </c>
      <c r="AE16" s="20">
        <v>11.756177264083341</v>
      </c>
      <c r="AF16" s="83">
        <v>11.579447149119758</v>
      </c>
      <c r="AG16" s="20">
        <v>6.1663248363729402</v>
      </c>
      <c r="AH16" s="20">
        <v>4</v>
      </c>
      <c r="AI16" s="20">
        <v>1.7071830240953976</v>
      </c>
      <c r="AJ16" s="83">
        <v>-0.66090523345311014</v>
      </c>
      <c r="AK16" s="20">
        <v>-3</v>
      </c>
      <c r="AL16" s="20">
        <v>-1.3998599578812259</v>
      </c>
      <c r="AM16" s="20">
        <v>-4.0429100813533747</v>
      </c>
      <c r="AN16" s="83">
        <v>0.24199595798498366</v>
      </c>
      <c r="AO16" s="20">
        <v>0.10407095774410745</v>
      </c>
      <c r="AP16" s="20">
        <v>-9.3552711468440002</v>
      </c>
    </row>
    <row r="17" spans="1:42">
      <c r="A17" s="19" t="s">
        <v>114</v>
      </c>
      <c r="B17" s="20">
        <v>0</v>
      </c>
      <c r="C17" s="20">
        <v>0</v>
      </c>
      <c r="D17" s="20">
        <v>0.3</v>
      </c>
      <c r="E17" s="20">
        <v>2.9547193280467745</v>
      </c>
      <c r="F17" s="20">
        <v>-1</v>
      </c>
      <c r="G17" s="20">
        <v>7.4063442694813353E-3</v>
      </c>
      <c r="H17" s="20">
        <v>2.9785887009915641</v>
      </c>
      <c r="I17" s="20">
        <v>6</v>
      </c>
      <c r="J17" s="20">
        <v>3.9259000125423835</v>
      </c>
      <c r="K17" s="20">
        <v>0.15561498428519305</v>
      </c>
      <c r="M17" s="20">
        <v>3</v>
      </c>
      <c r="N17" s="20">
        <v>4</v>
      </c>
      <c r="O17" s="20">
        <v>2.6986319803669701</v>
      </c>
      <c r="P17" s="83">
        <v>3.4693029755978113</v>
      </c>
      <c r="Q17" s="20">
        <v>-0.65842515452835249</v>
      </c>
      <c r="R17" s="20">
        <v>-0.95004404177677104</v>
      </c>
      <c r="S17" s="20">
        <v>-0.78998609179415857</v>
      </c>
      <c r="T17" s="83">
        <v>-1</v>
      </c>
      <c r="U17" s="20">
        <v>0</v>
      </c>
      <c r="V17" s="20">
        <v>-1.5914811191868571E-2</v>
      </c>
      <c r="W17" s="20">
        <v>0.19665817207519709</v>
      </c>
      <c r="X17" s="83">
        <v>6.5401668619220699E-2</v>
      </c>
      <c r="Y17" s="20">
        <v>5.1821902770704864E-2</v>
      </c>
      <c r="Z17" s="20">
        <v>1.4305746362044731</v>
      </c>
      <c r="AA17" s="20">
        <v>6.0681717366895276</v>
      </c>
      <c r="AB17" s="83">
        <v>4.1912709200257137</v>
      </c>
      <c r="AC17" s="20">
        <v>3.5178293963662597</v>
      </c>
      <c r="AD17" s="20">
        <v>5.4482496175881527</v>
      </c>
      <c r="AE17" s="20">
        <v>0.4705982896381169</v>
      </c>
      <c r="AF17" s="83">
        <v>14.399140396120877</v>
      </c>
      <c r="AG17" s="791">
        <v>6.2440373133849505</v>
      </c>
      <c r="AH17" s="20">
        <v>9</v>
      </c>
      <c r="AI17" s="20">
        <v>4.963470440012232</v>
      </c>
      <c r="AJ17" s="83">
        <v>-4.2174582119339989</v>
      </c>
      <c r="AK17" s="20">
        <v>1</v>
      </c>
      <c r="AL17" s="20">
        <v>-0.94906285584988603</v>
      </c>
      <c r="AM17" s="20">
        <v>0.29094452076687166</v>
      </c>
      <c r="AN17" s="83">
        <v>0.27457188381195874</v>
      </c>
      <c r="AO17" s="20">
        <v>0.22346278821118071</v>
      </c>
      <c r="AP17" s="20">
        <v>-2.4772468731932198E-3</v>
      </c>
    </row>
    <row r="18" spans="1:42">
      <c r="A18" s="21" t="s">
        <v>33</v>
      </c>
      <c r="B18" s="44">
        <v>-2</v>
      </c>
      <c r="C18" s="44">
        <v>1</v>
      </c>
      <c r="D18" s="44">
        <v>27</v>
      </c>
      <c r="E18" s="44">
        <v>21</v>
      </c>
      <c r="F18" s="44">
        <v>-4</v>
      </c>
      <c r="G18" s="44">
        <v>-4</v>
      </c>
      <c r="H18" s="44">
        <v>27</v>
      </c>
      <c r="I18" s="44">
        <v>20</v>
      </c>
      <c r="J18" s="44">
        <v>9</v>
      </c>
      <c r="K18" s="44">
        <v>2</v>
      </c>
      <c r="M18" s="44">
        <v>20</v>
      </c>
      <c r="N18" s="44">
        <v>26</v>
      </c>
      <c r="O18" s="44">
        <v>15</v>
      </c>
      <c r="P18" s="84">
        <v>23</v>
      </c>
      <c r="Q18" s="44">
        <v>-3</v>
      </c>
      <c r="R18" s="44">
        <v>-3</v>
      </c>
      <c r="S18" s="44">
        <v>-4</v>
      </c>
      <c r="T18" s="84">
        <v>-6</v>
      </c>
      <c r="U18" s="44">
        <v>-2</v>
      </c>
      <c r="V18" s="44">
        <v>-20</v>
      </c>
      <c r="W18" s="44">
        <v>3</v>
      </c>
      <c r="X18" s="84">
        <v>4</v>
      </c>
      <c r="Y18" s="44">
        <v>13</v>
      </c>
      <c r="Z18" s="44">
        <v>37</v>
      </c>
      <c r="AA18" s="44">
        <v>32</v>
      </c>
      <c r="AB18" s="84">
        <v>27</v>
      </c>
      <c r="AC18" s="44">
        <v>32</v>
      </c>
      <c r="AD18" s="44">
        <v>26</v>
      </c>
      <c r="AE18" s="44">
        <v>2</v>
      </c>
      <c r="AF18" s="84">
        <v>24</v>
      </c>
      <c r="AG18" s="792">
        <v>7</v>
      </c>
      <c r="AH18" s="44">
        <v>13</v>
      </c>
      <c r="AI18" s="44">
        <v>16</v>
      </c>
      <c r="AJ18" s="84">
        <v>3</v>
      </c>
      <c r="AK18" s="44">
        <v>-4</v>
      </c>
      <c r="AL18" s="44">
        <v>1</v>
      </c>
      <c r="AM18" s="44">
        <v>5</v>
      </c>
      <c r="AN18" s="84">
        <v>5</v>
      </c>
      <c r="AO18" s="44">
        <v>12</v>
      </c>
      <c r="AP18" s="44">
        <v>-7</v>
      </c>
    </row>
    <row r="19" spans="1:42">
      <c r="A19" s="19" t="s">
        <v>107</v>
      </c>
      <c r="B19" s="15">
        <v>19213</v>
      </c>
      <c r="C19" s="15">
        <v>19413</v>
      </c>
      <c r="D19" s="15">
        <v>24574</v>
      </c>
      <c r="E19" s="15">
        <v>29694.783514310002</v>
      </c>
      <c r="F19" s="15">
        <v>28509</v>
      </c>
      <c r="G19" s="15">
        <v>27252</v>
      </c>
      <c r="H19" s="15">
        <v>34513</v>
      </c>
      <c r="I19" s="15">
        <v>41566</v>
      </c>
      <c r="J19" s="15">
        <v>46708</v>
      </c>
      <c r="K19" s="15">
        <v>47423</v>
      </c>
      <c r="M19" s="15">
        <v>7442</v>
      </c>
      <c r="N19" s="15">
        <v>7947</v>
      </c>
      <c r="O19" s="15">
        <v>7190</v>
      </c>
      <c r="P19" s="85">
        <v>7116</v>
      </c>
      <c r="Q19" s="15">
        <v>7248</v>
      </c>
      <c r="R19" s="15">
        <v>7677</v>
      </c>
      <c r="S19" s="15">
        <v>6874</v>
      </c>
      <c r="T19" s="85">
        <v>6710</v>
      </c>
      <c r="U19" s="15">
        <v>7101</v>
      </c>
      <c r="V19" s="15">
        <v>6129</v>
      </c>
      <c r="W19" s="15">
        <v>7068</v>
      </c>
      <c r="X19" s="85">
        <v>6954</v>
      </c>
      <c r="Y19" s="15">
        <v>7991</v>
      </c>
      <c r="Z19" s="15">
        <v>8388</v>
      </c>
      <c r="AA19" s="15">
        <v>9336</v>
      </c>
      <c r="AB19" s="85">
        <v>8798.6758246160007</v>
      </c>
      <c r="AC19" s="15">
        <v>10547</v>
      </c>
      <c r="AD19" s="15">
        <v>10566.551841625</v>
      </c>
      <c r="AE19" s="15">
        <v>9526.4974461537986</v>
      </c>
      <c r="AF19" s="85">
        <v>10925.7846083122</v>
      </c>
      <c r="AG19" s="794">
        <v>11570.379972948</v>
      </c>
      <c r="AH19" s="15">
        <v>12276</v>
      </c>
      <c r="AI19" s="15">
        <v>11310.677860460199</v>
      </c>
      <c r="AJ19" s="85">
        <v>11551.3768973348</v>
      </c>
      <c r="AK19" s="15">
        <v>11025</v>
      </c>
      <c r="AL19" s="15">
        <v>12387.9736662834</v>
      </c>
      <c r="AM19" s="15">
        <v>11829.9476389789</v>
      </c>
      <c r="AN19" s="85">
        <v>12179.8085609993</v>
      </c>
      <c r="AO19" s="15">
        <v>12377.213642696001</v>
      </c>
      <c r="AP19" s="15">
        <v>11505.5559033386</v>
      </c>
    </row>
    <row r="20" spans="1:42" ht="9.75" customHeight="1">
      <c r="A20" s="461" t="s">
        <v>489</v>
      </c>
      <c r="B20" s="47"/>
      <c r="C20" s="47"/>
      <c r="D20" s="47"/>
      <c r="E20" s="47"/>
      <c r="F20" s="47"/>
      <c r="G20" s="47"/>
      <c r="H20" s="47"/>
      <c r="I20" s="47"/>
      <c r="J20" s="47"/>
      <c r="K20" s="47"/>
      <c r="M20" s="47"/>
      <c r="N20" s="47"/>
      <c r="O20" s="47"/>
      <c r="P20" s="82"/>
      <c r="Q20" s="47"/>
      <c r="R20" s="47"/>
      <c r="S20" s="47"/>
      <c r="T20" s="82"/>
      <c r="U20" s="47"/>
      <c r="V20" s="47"/>
      <c r="W20" s="47"/>
      <c r="X20" s="400"/>
      <c r="Y20" s="47"/>
      <c r="Z20" s="47"/>
      <c r="AA20" s="47"/>
      <c r="AB20" s="400"/>
      <c r="AC20" s="47">
        <v>14</v>
      </c>
      <c r="AD20" s="47">
        <v>-7</v>
      </c>
      <c r="AE20" s="47">
        <v>-14</v>
      </c>
      <c r="AF20" s="400">
        <v>6</v>
      </c>
      <c r="AG20" s="47">
        <v>5</v>
      </c>
      <c r="AH20" s="15">
        <v>2</v>
      </c>
      <c r="AI20" s="15">
        <v>-7</v>
      </c>
      <c r="AJ20" s="400">
        <v>5</v>
      </c>
      <c r="AK20" s="47">
        <v>-1</v>
      </c>
      <c r="AL20" s="47">
        <v>9</v>
      </c>
      <c r="AM20" s="47">
        <v>-2</v>
      </c>
      <c r="AN20" s="400">
        <v>1</v>
      </c>
      <c r="AO20" s="47">
        <v>4.5999999999999996</v>
      </c>
      <c r="AP20" s="47">
        <v>2.1</v>
      </c>
    </row>
    <row r="21" spans="1:42">
      <c r="A21" s="707" t="s">
        <v>912</v>
      </c>
      <c r="B21" s="413"/>
      <c r="C21" s="413"/>
      <c r="D21" s="413"/>
      <c r="E21" s="413"/>
      <c r="F21" s="413"/>
      <c r="G21" s="413"/>
      <c r="H21" s="413"/>
      <c r="I21" s="413"/>
      <c r="J21" s="413"/>
      <c r="K21" s="413"/>
      <c r="L21" s="107"/>
      <c r="M21" s="413"/>
      <c r="N21" s="413"/>
      <c r="O21" s="413"/>
      <c r="P21" s="400"/>
      <c r="Q21" s="413"/>
      <c r="R21" s="413"/>
      <c r="S21" s="413"/>
      <c r="T21" s="400"/>
      <c r="U21" s="413"/>
      <c r="V21" s="413"/>
      <c r="W21" s="413"/>
      <c r="X21" s="400"/>
      <c r="Y21" s="413"/>
      <c r="Z21" s="413"/>
      <c r="AA21" s="413" t="s">
        <v>907</v>
      </c>
      <c r="AB21" s="400" t="s">
        <v>904</v>
      </c>
      <c r="AC21" s="413" t="s">
        <v>904</v>
      </c>
      <c r="AD21" s="413" t="s">
        <v>907</v>
      </c>
      <c r="AE21" s="107" t="s">
        <v>904</v>
      </c>
      <c r="AF21" s="400" t="s">
        <v>908</v>
      </c>
      <c r="AG21" s="413" t="s">
        <v>904</v>
      </c>
      <c r="AH21" s="413" t="s">
        <v>904</v>
      </c>
      <c r="AI21" s="413" t="s">
        <v>904</v>
      </c>
      <c r="AJ21" s="400" t="s">
        <v>904</v>
      </c>
      <c r="AK21" s="413"/>
      <c r="AL21" s="413"/>
      <c r="AM21" s="413"/>
      <c r="AN21" s="400"/>
      <c r="AO21" s="413"/>
      <c r="AP21" s="413"/>
    </row>
    <row r="22" spans="1:42">
      <c r="A22" s="19"/>
      <c r="B22" s="20"/>
      <c r="C22" s="20"/>
      <c r="E22" s="20"/>
      <c r="F22" s="20"/>
      <c r="G22" s="20"/>
      <c r="H22" s="20"/>
      <c r="I22" s="20"/>
      <c r="J22" s="20"/>
      <c r="K22" s="20"/>
      <c r="M22" s="20"/>
      <c r="P22" s="80"/>
      <c r="Q22" s="20"/>
      <c r="T22" s="80"/>
      <c r="U22" s="20"/>
      <c r="V22" s="20"/>
      <c r="W22" s="20"/>
      <c r="X22" s="83"/>
      <c r="Y22" s="20"/>
      <c r="Z22" s="20"/>
      <c r="AA22" s="20"/>
      <c r="AB22" s="83"/>
      <c r="AC22" s="20"/>
      <c r="AD22" s="20"/>
      <c r="AE22" s="20"/>
      <c r="AF22" s="83"/>
      <c r="AG22" s="20"/>
      <c r="AH22" s="20"/>
      <c r="AI22" s="20"/>
      <c r="AJ22" s="83"/>
      <c r="AK22" s="20"/>
      <c r="AL22" s="20"/>
      <c r="AM22" s="20"/>
      <c r="AN22" s="83"/>
      <c r="AO22" s="20"/>
      <c r="AP22" s="20"/>
    </row>
    <row r="23" spans="1:42" ht="10.5">
      <c r="A23" s="753" t="s">
        <v>104</v>
      </c>
      <c r="B23" s="596">
        <v>2015</v>
      </c>
      <c r="C23" s="596">
        <v>2016</v>
      </c>
      <c r="D23" s="596">
        <v>2017</v>
      </c>
      <c r="E23" s="596">
        <v>2018</v>
      </c>
      <c r="F23" s="596">
        <v>2019</v>
      </c>
      <c r="G23" s="596">
        <v>2020</v>
      </c>
      <c r="H23" s="596">
        <v>2021</v>
      </c>
      <c r="I23" s="596">
        <v>2022</v>
      </c>
      <c r="J23" s="596">
        <v>2023</v>
      </c>
      <c r="K23" s="596">
        <v>2024</v>
      </c>
      <c r="L23" s="459"/>
      <c r="M23" s="596" t="s">
        <v>764</v>
      </c>
      <c r="N23" s="596" t="s">
        <v>765</v>
      </c>
      <c r="O23" s="596" t="s">
        <v>766</v>
      </c>
      <c r="P23" s="599" t="s">
        <v>767</v>
      </c>
      <c r="Q23" s="596" t="s">
        <v>768</v>
      </c>
      <c r="R23" s="596" t="s">
        <v>730</v>
      </c>
      <c r="S23" s="596" t="s">
        <v>731</v>
      </c>
      <c r="T23" s="599" t="s">
        <v>732</v>
      </c>
      <c r="U23" s="596" t="s">
        <v>733</v>
      </c>
      <c r="V23" s="596" t="s">
        <v>626</v>
      </c>
      <c r="W23" s="596" t="s">
        <v>620</v>
      </c>
      <c r="X23" s="599" t="s">
        <v>619</v>
      </c>
      <c r="Y23" s="596" t="s">
        <v>614</v>
      </c>
      <c r="Z23" s="596" t="s">
        <v>604</v>
      </c>
      <c r="AA23" s="596" t="s">
        <v>589</v>
      </c>
      <c r="AB23" s="599" t="s">
        <v>587</v>
      </c>
      <c r="AC23" s="596" t="s">
        <v>504</v>
      </c>
      <c r="AD23" s="596" t="s">
        <v>551</v>
      </c>
      <c r="AE23" s="596" t="s">
        <v>532</v>
      </c>
      <c r="AF23" s="599" t="s">
        <v>530</v>
      </c>
      <c r="AG23" s="596" t="s">
        <v>803</v>
      </c>
      <c r="AH23" s="596" t="s">
        <v>812</v>
      </c>
      <c r="AI23" s="596" t="s">
        <v>816</v>
      </c>
      <c r="AJ23" s="599" t="s">
        <v>835</v>
      </c>
      <c r="AK23" s="596" t="s">
        <v>872</v>
      </c>
      <c r="AL23" s="596" t="s">
        <v>986</v>
      </c>
      <c r="AM23" s="596" t="s">
        <v>1016</v>
      </c>
      <c r="AN23" s="599" t="s">
        <v>1039</v>
      </c>
      <c r="AO23" s="596" t="s">
        <v>1076</v>
      </c>
      <c r="AP23" s="596" t="s">
        <v>1285</v>
      </c>
    </row>
    <row r="24" spans="1:42">
      <c r="A24" s="23" t="s">
        <v>106</v>
      </c>
      <c r="B24" s="15">
        <v>9042</v>
      </c>
      <c r="C24" s="15">
        <v>7776</v>
      </c>
      <c r="D24" s="15">
        <v>8505</v>
      </c>
      <c r="E24" s="15">
        <v>12245.390259563095</v>
      </c>
      <c r="F24" s="15">
        <v>15244</v>
      </c>
      <c r="G24" s="15">
        <v>12355</v>
      </c>
      <c r="H24" s="15">
        <v>11326</v>
      </c>
      <c r="I24" s="15">
        <v>16402</v>
      </c>
      <c r="J24" s="15">
        <v>18314</v>
      </c>
      <c r="K24" s="15">
        <v>20218</v>
      </c>
      <c r="M24" s="15">
        <v>3147</v>
      </c>
      <c r="N24" s="15">
        <v>3142</v>
      </c>
      <c r="O24" s="15">
        <v>3281</v>
      </c>
      <c r="P24" s="85">
        <v>2676</v>
      </c>
      <c r="Q24" s="15">
        <v>4054</v>
      </c>
      <c r="R24" s="15">
        <v>4234</v>
      </c>
      <c r="S24" s="15">
        <v>3601</v>
      </c>
      <c r="T24" s="85">
        <v>3355</v>
      </c>
      <c r="U24" s="15">
        <v>3442</v>
      </c>
      <c r="V24" s="15">
        <v>3580</v>
      </c>
      <c r="W24" s="15">
        <v>2727</v>
      </c>
      <c r="X24" s="85">
        <v>2606</v>
      </c>
      <c r="Y24" s="15">
        <v>2850</v>
      </c>
      <c r="Z24" s="15">
        <v>2410</v>
      </c>
      <c r="AA24" s="15">
        <v>3099</v>
      </c>
      <c r="AB24" s="85">
        <v>2966.8275951098999</v>
      </c>
      <c r="AC24" s="15">
        <v>4028</v>
      </c>
      <c r="AD24" s="15">
        <v>4030.6095123400992</v>
      </c>
      <c r="AE24" s="15">
        <v>4532.4801173631004</v>
      </c>
      <c r="AF24" s="85">
        <v>3812.0690948048004</v>
      </c>
      <c r="AG24" s="15">
        <v>5537.0618158543002</v>
      </c>
      <c r="AH24" s="15">
        <v>5012</v>
      </c>
      <c r="AI24" s="15">
        <v>3701.9869424073004</v>
      </c>
      <c r="AJ24" s="85">
        <v>4063.2596197312005</v>
      </c>
      <c r="AK24" s="15">
        <v>5151</v>
      </c>
      <c r="AL24" s="15">
        <v>5404.0296979431005</v>
      </c>
      <c r="AM24" s="15">
        <v>4739</v>
      </c>
      <c r="AN24" s="85">
        <v>4922.7257207490002</v>
      </c>
      <c r="AO24" s="15">
        <v>4404.4101382397002</v>
      </c>
      <c r="AP24" s="15">
        <v>5405.6293657841006</v>
      </c>
    </row>
    <row r="25" spans="1:42">
      <c r="A25" s="19" t="s">
        <v>68</v>
      </c>
      <c r="B25" s="20">
        <v>-19.8</v>
      </c>
      <c r="C25" s="20">
        <v>11.1</v>
      </c>
      <c r="D25" s="20">
        <v>41.7</v>
      </c>
      <c r="E25" s="20">
        <v>20</v>
      </c>
      <c r="F25" s="20">
        <v>-20</v>
      </c>
      <c r="G25" s="20">
        <v>-2</v>
      </c>
      <c r="H25" s="20">
        <v>47</v>
      </c>
      <c r="I25" s="20">
        <v>-5</v>
      </c>
      <c r="J25" s="20">
        <v>-1</v>
      </c>
      <c r="K25" s="20">
        <v>-1</v>
      </c>
      <c r="M25" s="20">
        <v>30</v>
      </c>
      <c r="N25" s="20">
        <v>30.723707310660561</v>
      </c>
      <c r="O25" s="20">
        <v>2</v>
      </c>
      <c r="P25" s="83">
        <v>17</v>
      </c>
      <c r="Q25" s="20">
        <v>-16</v>
      </c>
      <c r="R25" s="20">
        <v>-15</v>
      </c>
      <c r="S25" s="20">
        <v>-27</v>
      </c>
      <c r="T25" s="83">
        <v>-22</v>
      </c>
      <c r="U25" s="20">
        <v>-17</v>
      </c>
      <c r="V25" s="20">
        <v>-29</v>
      </c>
      <c r="W25" s="20">
        <v>25</v>
      </c>
      <c r="X25" s="83">
        <v>26</v>
      </c>
      <c r="Y25" s="20">
        <v>55</v>
      </c>
      <c r="Z25" s="20">
        <v>76</v>
      </c>
      <c r="AA25" s="20">
        <v>43</v>
      </c>
      <c r="AB25" s="83">
        <v>20</v>
      </c>
      <c r="AC25" s="20">
        <v>18</v>
      </c>
      <c r="AD25" s="20">
        <v>5</v>
      </c>
      <c r="AE25" s="20">
        <v>-33</v>
      </c>
      <c r="AF25" s="83">
        <v>-10</v>
      </c>
      <c r="AG25" s="20">
        <v>-16</v>
      </c>
      <c r="AH25" s="20">
        <v>-6</v>
      </c>
      <c r="AI25" s="20">
        <v>14</v>
      </c>
      <c r="AJ25" s="83">
        <v>13</v>
      </c>
      <c r="AK25" s="20">
        <v>-16</v>
      </c>
      <c r="AL25" s="20">
        <v>2</v>
      </c>
      <c r="AM25" s="20">
        <v>11</v>
      </c>
      <c r="AN25" s="83">
        <v>1</v>
      </c>
      <c r="AO25" s="20">
        <v>29</v>
      </c>
      <c r="AP25" s="20">
        <v>2</v>
      </c>
    </row>
    <row r="26" spans="1:42">
      <c r="A26" s="19" t="s">
        <v>32</v>
      </c>
      <c r="B26" s="20">
        <v>6</v>
      </c>
      <c r="C26" s="20">
        <v>-2</v>
      </c>
      <c r="D26" s="20">
        <v>1</v>
      </c>
      <c r="E26" s="20">
        <v>1.1222959087038848</v>
      </c>
      <c r="F26" s="20">
        <v>3</v>
      </c>
      <c r="G26" s="20">
        <v>-5.8192707990658423</v>
      </c>
      <c r="H26" s="20">
        <v>-5.1189507344259244</v>
      </c>
      <c r="I26" s="20">
        <v>9</v>
      </c>
      <c r="J26" s="20">
        <v>2.8867511763427904</v>
      </c>
      <c r="K26" s="20">
        <v>-1.7816200198845711</v>
      </c>
      <c r="M26" s="20">
        <v>-5</v>
      </c>
      <c r="N26" s="20">
        <v>0.39649341578796293</v>
      </c>
      <c r="O26" s="20">
        <v>5.4845110024117769</v>
      </c>
      <c r="P26" s="83">
        <v>3.7707250410714237</v>
      </c>
      <c r="Q26" s="20">
        <v>3.2005019985570424</v>
      </c>
      <c r="R26" s="20">
        <v>2.1166473258183012</v>
      </c>
      <c r="S26" s="20">
        <v>4.8987598459338875</v>
      </c>
      <c r="T26" s="83">
        <v>2</v>
      </c>
      <c r="U26" s="20">
        <v>1</v>
      </c>
      <c r="V26" s="20">
        <v>-3.8271830616205178</v>
      </c>
      <c r="W26" s="20">
        <v>-11.430755955441871</v>
      </c>
      <c r="X26" s="83">
        <v>-11.933172875144413</v>
      </c>
      <c r="Y26" s="20">
        <v>-13.592251655464372</v>
      </c>
      <c r="Z26" s="20">
        <v>-11.782262783389378</v>
      </c>
      <c r="AA26" s="20">
        <v>-0.87471123039490406</v>
      </c>
      <c r="AB26" s="83">
        <v>3.9888566663125955</v>
      </c>
      <c r="AC26" s="20">
        <v>8.6228234737894809</v>
      </c>
      <c r="AD26" s="20">
        <v>9.9592702507085793</v>
      </c>
      <c r="AE26" s="20">
        <v>8.8948648297398023</v>
      </c>
      <c r="AF26" s="83">
        <v>9.9549562615993104</v>
      </c>
      <c r="AG26" s="20">
        <v>5.2638525408026249</v>
      </c>
      <c r="AH26" s="20">
        <v>3</v>
      </c>
      <c r="AI26" s="20">
        <v>2.6081839130162972</v>
      </c>
      <c r="AJ26" s="83">
        <v>-0.23803183721841087</v>
      </c>
      <c r="AK26" s="20">
        <v>-3</v>
      </c>
      <c r="AL26" s="20">
        <v>-1.0316557267947311</v>
      </c>
      <c r="AM26" s="20">
        <v>-4.4782626315746139</v>
      </c>
      <c r="AN26" s="83">
        <v>1.0326791486249831</v>
      </c>
      <c r="AO26" s="20">
        <v>0.61729172631194451</v>
      </c>
      <c r="AP26" s="20">
        <v>-8.9951543972425405</v>
      </c>
    </row>
    <row r="27" spans="1:42">
      <c r="A27" s="19" t="s">
        <v>114</v>
      </c>
      <c r="B27" s="20">
        <v>0</v>
      </c>
      <c r="C27" s="20">
        <v>0</v>
      </c>
      <c r="D27" s="20">
        <v>0.5</v>
      </c>
      <c r="E27" s="20">
        <v>3.3790560327373638</v>
      </c>
      <c r="F27" s="20">
        <v>-2</v>
      </c>
      <c r="G27" s="20">
        <v>-0.12159949177316953</v>
      </c>
      <c r="H27" s="20">
        <v>2.8024229909191805</v>
      </c>
      <c r="I27" s="20">
        <v>1</v>
      </c>
      <c r="J27" s="20">
        <v>2.7102766694204821</v>
      </c>
      <c r="K27" s="20">
        <v>1.8429293752438674</v>
      </c>
      <c r="M27" s="20">
        <v>4</v>
      </c>
      <c r="N27" s="20">
        <v>4</v>
      </c>
      <c r="O27" s="20">
        <v>2.5396778447715604</v>
      </c>
      <c r="P27" s="83">
        <v>4.1031829385226102</v>
      </c>
      <c r="Q27" s="20">
        <v>-1.5883761518782293</v>
      </c>
      <c r="R27" s="20">
        <v>-2.3100681733279953</v>
      </c>
      <c r="S27" s="20">
        <v>-1.9689297631817679</v>
      </c>
      <c r="T27" s="83">
        <v>-2</v>
      </c>
      <c r="U27" s="20">
        <v>-1</v>
      </c>
      <c r="V27" s="20">
        <v>-3.4125783463196377E-2</v>
      </c>
      <c r="W27" s="20">
        <v>0.38160796996696583</v>
      </c>
      <c r="X27" s="83">
        <v>-0.22483749333106273</v>
      </c>
      <c r="Y27" s="20">
        <v>0.17058680123355985</v>
      </c>
      <c r="Z27" s="20">
        <v>3.0848186305235905</v>
      </c>
      <c r="AA27" s="20">
        <v>3.9560878595138051</v>
      </c>
      <c r="AB27" s="83">
        <v>4.2238694211942569</v>
      </c>
      <c r="AC27" s="20">
        <v>2.5642075476430435</v>
      </c>
      <c r="AD27" s="20">
        <v>1.0434627813296138</v>
      </c>
      <c r="AE27" s="20">
        <v>0.4747368511903885</v>
      </c>
      <c r="AF27" s="83">
        <v>-1.1646227163222223E-2</v>
      </c>
      <c r="AG27" s="20">
        <v>0.2607559735018472</v>
      </c>
      <c r="AH27" s="20">
        <v>5</v>
      </c>
      <c r="AI27" s="20">
        <v>3.6663122586607741</v>
      </c>
      <c r="AJ27" s="83">
        <v>2.1911712926847113</v>
      </c>
      <c r="AK27" s="20">
        <v>5</v>
      </c>
      <c r="AL27" s="20">
        <v>-1.0447457108773732</v>
      </c>
      <c r="AM27" s="20">
        <v>1.9939485406536663</v>
      </c>
      <c r="AN27" s="83">
        <v>1.9598790017844119</v>
      </c>
      <c r="AO27" s="20">
        <v>6.81135476906109E-12</v>
      </c>
      <c r="AP27" s="20">
        <v>3.5721464964328122E-7</v>
      </c>
    </row>
    <row r="28" spans="1:42">
      <c r="A28" s="21" t="s">
        <v>33</v>
      </c>
      <c r="B28" s="44">
        <v>-14</v>
      </c>
      <c r="C28" s="44">
        <v>9</v>
      </c>
      <c r="D28" s="44">
        <v>44</v>
      </c>
      <c r="E28" s="44">
        <v>24</v>
      </c>
      <c r="F28" s="44">
        <v>-19</v>
      </c>
      <c r="G28" s="44">
        <v>-8</v>
      </c>
      <c r="H28" s="44">
        <v>45</v>
      </c>
      <c r="I28" s="44">
        <v>5</v>
      </c>
      <c r="J28" s="44">
        <v>5</v>
      </c>
      <c r="K28" s="44">
        <v>-1</v>
      </c>
      <c r="M28" s="44">
        <v>29</v>
      </c>
      <c r="N28" s="44">
        <v>35</v>
      </c>
      <c r="O28" s="44">
        <v>10</v>
      </c>
      <c r="P28" s="84">
        <v>25</v>
      </c>
      <c r="Q28" s="44">
        <v>-15</v>
      </c>
      <c r="R28" s="44">
        <v>-15</v>
      </c>
      <c r="S28" s="44">
        <v>-24</v>
      </c>
      <c r="T28" s="84">
        <v>-22</v>
      </c>
      <c r="U28" s="44">
        <v>-17</v>
      </c>
      <c r="V28" s="44">
        <v>-33</v>
      </c>
      <c r="W28" s="44">
        <v>14</v>
      </c>
      <c r="X28" s="84">
        <v>14</v>
      </c>
      <c r="Y28" s="44">
        <v>41</v>
      </c>
      <c r="Z28" s="44">
        <v>67</v>
      </c>
      <c r="AA28" s="44">
        <v>46</v>
      </c>
      <c r="AB28" s="84">
        <v>28</v>
      </c>
      <c r="AC28" s="44">
        <v>30</v>
      </c>
      <c r="AD28" s="44">
        <v>16</v>
      </c>
      <c r="AE28" s="44">
        <v>-24</v>
      </c>
      <c r="AF28" s="84">
        <v>0</v>
      </c>
      <c r="AG28" s="44">
        <v>-11</v>
      </c>
      <c r="AH28" s="44">
        <v>2</v>
      </c>
      <c r="AI28" s="44">
        <v>21</v>
      </c>
      <c r="AJ28" s="84">
        <v>15</v>
      </c>
      <c r="AK28" s="44">
        <v>-14</v>
      </c>
      <c r="AL28" s="44">
        <v>0</v>
      </c>
      <c r="AM28" s="44">
        <v>9.1</v>
      </c>
      <c r="AN28" s="84">
        <v>4</v>
      </c>
      <c r="AO28" s="44">
        <v>30</v>
      </c>
      <c r="AP28" s="44">
        <v>-7</v>
      </c>
    </row>
    <row r="29" spans="1:42">
      <c r="A29" s="19" t="s">
        <v>107</v>
      </c>
      <c r="B29" s="15">
        <v>7776</v>
      </c>
      <c r="C29" s="15">
        <v>8505</v>
      </c>
      <c r="D29" s="15">
        <v>12245</v>
      </c>
      <c r="E29" s="15">
        <v>15243.9871176177</v>
      </c>
      <c r="F29" s="15">
        <v>12355</v>
      </c>
      <c r="G29" s="15">
        <v>11326</v>
      </c>
      <c r="H29" s="15">
        <v>16403</v>
      </c>
      <c r="I29" s="15">
        <v>17189</v>
      </c>
      <c r="J29" s="15">
        <v>19221</v>
      </c>
      <c r="K29" s="15">
        <v>20102</v>
      </c>
      <c r="M29" s="15">
        <v>4054</v>
      </c>
      <c r="N29" s="15">
        <v>4234</v>
      </c>
      <c r="O29" s="15">
        <v>3601</v>
      </c>
      <c r="P29" s="85">
        <v>3355</v>
      </c>
      <c r="Q29" s="15">
        <v>3442</v>
      </c>
      <c r="R29" s="15">
        <v>3580</v>
      </c>
      <c r="S29" s="15">
        <v>2727</v>
      </c>
      <c r="T29" s="85">
        <v>2606</v>
      </c>
      <c r="U29" s="15">
        <v>2850</v>
      </c>
      <c r="V29" s="15">
        <v>2410</v>
      </c>
      <c r="W29" s="15">
        <v>3099</v>
      </c>
      <c r="X29" s="85">
        <v>2967</v>
      </c>
      <c r="Y29" s="15">
        <v>4028</v>
      </c>
      <c r="Z29" s="15">
        <v>4031</v>
      </c>
      <c r="AA29" s="15">
        <v>4532</v>
      </c>
      <c r="AB29" s="85">
        <v>3812.0690948051006</v>
      </c>
      <c r="AC29" s="15">
        <v>5244</v>
      </c>
      <c r="AD29" s="15">
        <v>4682.2110083405996</v>
      </c>
      <c r="AE29" s="15">
        <v>3436.7604440964988</v>
      </c>
      <c r="AF29" s="85">
        <v>3825.9849258151007</v>
      </c>
      <c r="AG29" s="15">
        <v>4936.626141024999</v>
      </c>
      <c r="AH29" s="15">
        <v>5109</v>
      </c>
      <c r="AI29" s="15">
        <v>4487.1110507396979</v>
      </c>
      <c r="AJ29" s="85">
        <v>4687.1638479654994</v>
      </c>
      <c r="AK29" s="15">
        <v>4404</v>
      </c>
      <c r="AL29" s="15">
        <v>5405.6293657843007</v>
      </c>
      <c r="AM29" s="15">
        <v>5170</v>
      </c>
      <c r="AN29" s="85">
        <v>5121.0287045519999</v>
      </c>
      <c r="AO29" s="15">
        <v>5721.8356697285999</v>
      </c>
      <c r="AP29" s="15">
        <v>5008.8522625667993</v>
      </c>
    </row>
    <row r="30" spans="1:42">
      <c r="A30" s="19"/>
      <c r="B30" s="20"/>
      <c r="C30" s="20"/>
      <c r="E30" s="20"/>
      <c r="F30" s="20"/>
      <c r="G30" s="20"/>
      <c r="H30" s="20"/>
      <c r="I30" s="20"/>
      <c r="J30" s="20"/>
      <c r="K30" s="20"/>
      <c r="M30" s="20"/>
      <c r="P30" s="80"/>
      <c r="Q30" s="20"/>
      <c r="T30" s="80"/>
      <c r="U30" s="20"/>
      <c r="V30" s="20"/>
      <c r="W30" s="20"/>
      <c r="X30" s="83"/>
      <c r="Y30" s="20"/>
      <c r="Z30" s="20"/>
      <c r="AA30" s="20"/>
      <c r="AB30" s="83"/>
      <c r="AC30" s="20"/>
      <c r="AD30" s="20"/>
      <c r="AE30" s="20"/>
      <c r="AF30" s="83"/>
      <c r="AG30" s="20"/>
      <c r="AH30" s="20"/>
      <c r="AI30" s="20"/>
      <c r="AJ30" s="83"/>
      <c r="AK30" s="20"/>
      <c r="AL30" s="20"/>
      <c r="AM30" s="20"/>
      <c r="AN30" s="83"/>
      <c r="AO30" s="20"/>
      <c r="AP30" s="20"/>
    </row>
    <row r="31" spans="1:42" ht="10.5">
      <c r="A31" s="753" t="s">
        <v>72</v>
      </c>
      <c r="B31" s="596">
        <v>2015</v>
      </c>
      <c r="C31" s="596">
        <v>2016</v>
      </c>
      <c r="D31" s="596">
        <v>2017</v>
      </c>
      <c r="E31" s="596">
        <v>2018</v>
      </c>
      <c r="F31" s="596">
        <v>2019</v>
      </c>
      <c r="G31" s="596">
        <v>2020</v>
      </c>
      <c r="H31" s="596">
        <v>2021</v>
      </c>
      <c r="I31" s="596">
        <v>2022</v>
      </c>
      <c r="J31" s="596">
        <v>2023</v>
      </c>
      <c r="K31" s="596">
        <v>2024</v>
      </c>
      <c r="L31" s="459"/>
      <c r="M31" s="596" t="s">
        <v>764</v>
      </c>
      <c r="N31" s="596" t="s">
        <v>765</v>
      </c>
      <c r="O31" s="596" t="s">
        <v>766</v>
      </c>
      <c r="P31" s="599" t="s">
        <v>767</v>
      </c>
      <c r="Q31" s="596" t="s">
        <v>768</v>
      </c>
      <c r="R31" s="596" t="s">
        <v>730</v>
      </c>
      <c r="S31" s="596" t="s">
        <v>731</v>
      </c>
      <c r="T31" s="599" t="s">
        <v>732</v>
      </c>
      <c r="U31" s="596" t="s">
        <v>733</v>
      </c>
      <c r="V31" s="596" t="s">
        <v>626</v>
      </c>
      <c r="W31" s="596" t="s">
        <v>620</v>
      </c>
      <c r="X31" s="599" t="s">
        <v>619</v>
      </c>
      <c r="Y31" s="596" t="s">
        <v>614</v>
      </c>
      <c r="Z31" s="596" t="s">
        <v>604</v>
      </c>
      <c r="AA31" s="596" t="s">
        <v>589</v>
      </c>
      <c r="AB31" s="599" t="s">
        <v>587</v>
      </c>
      <c r="AC31" s="596" t="s">
        <v>504</v>
      </c>
      <c r="AD31" s="596" t="s">
        <v>551</v>
      </c>
      <c r="AE31" s="596" t="s">
        <v>532</v>
      </c>
      <c r="AF31" s="599" t="s">
        <v>530</v>
      </c>
      <c r="AG31" s="596" t="s">
        <v>803</v>
      </c>
      <c r="AH31" s="596" t="s">
        <v>812</v>
      </c>
      <c r="AI31" s="596" t="s">
        <v>816</v>
      </c>
      <c r="AJ31" s="599" t="s">
        <v>835</v>
      </c>
      <c r="AK31" s="596" t="s">
        <v>872</v>
      </c>
      <c r="AL31" s="596" t="s">
        <v>986</v>
      </c>
      <c r="AM31" s="596" t="s">
        <v>1016</v>
      </c>
      <c r="AN31" s="599" t="s">
        <v>1039</v>
      </c>
      <c r="AO31" s="596" t="s">
        <v>1076</v>
      </c>
      <c r="AP31" s="596" t="s">
        <v>1285</v>
      </c>
    </row>
    <row r="32" spans="1:42">
      <c r="A32" s="23" t="s">
        <v>106</v>
      </c>
      <c r="B32" s="15">
        <v>10482</v>
      </c>
      <c r="C32" s="15">
        <v>11437</v>
      </c>
      <c r="D32" s="15">
        <v>10907</v>
      </c>
      <c r="E32" s="15">
        <v>12328.214251528601</v>
      </c>
      <c r="F32" s="15">
        <v>14451</v>
      </c>
      <c r="G32" s="15">
        <v>16154</v>
      </c>
      <c r="H32" s="15">
        <v>15926</v>
      </c>
      <c r="I32" s="15">
        <v>18110</v>
      </c>
      <c r="J32" s="15">
        <v>24377</v>
      </c>
      <c r="K32" s="15">
        <v>26460</v>
      </c>
      <c r="M32" s="15">
        <v>3053</v>
      </c>
      <c r="N32" s="15">
        <v>3181</v>
      </c>
      <c r="O32" s="15">
        <v>2982</v>
      </c>
      <c r="P32" s="85">
        <v>3112</v>
      </c>
      <c r="Q32" s="15">
        <v>3388</v>
      </c>
      <c r="R32" s="15">
        <v>3713</v>
      </c>
      <c r="S32" s="15">
        <v>3589</v>
      </c>
      <c r="T32" s="85">
        <v>3761</v>
      </c>
      <c r="U32" s="15">
        <v>3806</v>
      </c>
      <c r="V32" s="15">
        <v>4097</v>
      </c>
      <c r="W32" s="15">
        <v>4147</v>
      </c>
      <c r="X32" s="85">
        <v>4104</v>
      </c>
      <c r="Y32" s="15">
        <v>4251</v>
      </c>
      <c r="Z32" s="15">
        <v>3719</v>
      </c>
      <c r="AA32" s="15">
        <v>3969</v>
      </c>
      <c r="AB32" s="85">
        <v>3986.9041790248998</v>
      </c>
      <c r="AC32" s="15">
        <v>3963</v>
      </c>
      <c r="AD32" s="15">
        <v>4356.0312141433005</v>
      </c>
      <c r="AE32" s="15">
        <v>4803.9061457886</v>
      </c>
      <c r="AF32" s="85">
        <v>4986.6067298109001</v>
      </c>
      <c r="AG32" s="15">
        <v>5302.8571037078</v>
      </c>
      <c r="AH32" s="15">
        <v>5885</v>
      </c>
      <c r="AI32" s="15">
        <v>6088.7370020572998</v>
      </c>
      <c r="AJ32" s="85">
        <v>7099.9996088362996</v>
      </c>
      <c r="AK32" s="15">
        <v>6388</v>
      </c>
      <c r="AL32" s="15">
        <v>6871.6558525118999</v>
      </c>
      <c r="AM32" s="15">
        <v>6571.7114311847999</v>
      </c>
      <c r="AN32" s="85">
        <v>6628.8511765861003</v>
      </c>
      <c r="AO32" s="15">
        <v>6620.6400749158001</v>
      </c>
      <c r="AP32" s="15">
        <v>6982.3443004990995</v>
      </c>
    </row>
    <row r="33" spans="1:42">
      <c r="A33" s="19" t="s">
        <v>68</v>
      </c>
      <c r="B33" s="20">
        <v>3.3</v>
      </c>
      <c r="C33" s="20">
        <v>-1.5</v>
      </c>
      <c r="D33" s="20">
        <v>11</v>
      </c>
      <c r="E33" s="20">
        <v>14</v>
      </c>
      <c r="F33" s="20">
        <v>8</v>
      </c>
      <c r="G33" s="20">
        <v>7</v>
      </c>
      <c r="H33" s="20">
        <v>15</v>
      </c>
      <c r="I33" s="20">
        <v>13</v>
      </c>
      <c r="J33" s="20">
        <v>5</v>
      </c>
      <c r="K33" s="20">
        <v>6</v>
      </c>
      <c r="M33" s="20">
        <v>14.586022131384713</v>
      </c>
      <c r="N33" s="45">
        <v>14.312795112846995</v>
      </c>
      <c r="O33" s="45">
        <v>13</v>
      </c>
      <c r="P33" s="86">
        <v>16</v>
      </c>
      <c r="Q33" s="20">
        <v>8</v>
      </c>
      <c r="R33" s="45">
        <v>7</v>
      </c>
      <c r="S33" s="45">
        <v>11</v>
      </c>
      <c r="T33" s="86">
        <v>6</v>
      </c>
      <c r="U33" s="20">
        <v>12</v>
      </c>
      <c r="V33" s="20">
        <v>-3</v>
      </c>
      <c r="W33" s="20">
        <v>9</v>
      </c>
      <c r="X33" s="83">
        <v>9</v>
      </c>
      <c r="Y33" s="20">
        <v>4</v>
      </c>
      <c r="Z33" s="20">
        <v>26</v>
      </c>
      <c r="AA33" s="20">
        <v>13</v>
      </c>
      <c r="AB33" s="83">
        <v>19</v>
      </c>
      <c r="AC33" s="20">
        <v>22</v>
      </c>
      <c r="AD33" s="20">
        <v>14</v>
      </c>
      <c r="AE33" s="20">
        <v>12</v>
      </c>
      <c r="AF33" s="83">
        <v>4</v>
      </c>
      <c r="AG33" s="20">
        <v>6</v>
      </c>
      <c r="AH33" s="20">
        <v>5</v>
      </c>
      <c r="AI33" s="20">
        <v>5</v>
      </c>
      <c r="AJ33" s="83">
        <v>6</v>
      </c>
      <c r="AK33" s="20">
        <v>9</v>
      </c>
      <c r="AL33" s="20">
        <v>5</v>
      </c>
      <c r="AM33" s="20">
        <v>6</v>
      </c>
      <c r="AN33" s="83">
        <v>7</v>
      </c>
      <c r="AO33" s="20">
        <v>1</v>
      </c>
      <c r="AP33" s="20">
        <v>3</v>
      </c>
    </row>
    <row r="34" spans="1:42">
      <c r="A34" s="19" t="s">
        <v>32</v>
      </c>
      <c r="B34" s="20">
        <v>6</v>
      </c>
      <c r="C34" s="20">
        <v>-3</v>
      </c>
      <c r="D34" s="20">
        <v>2</v>
      </c>
      <c r="E34" s="20">
        <v>0.20554883890468861</v>
      </c>
      <c r="F34" s="20">
        <v>4</v>
      </c>
      <c r="G34" s="20">
        <v>-7.9531815178996572</v>
      </c>
      <c r="H34" s="20">
        <v>-4.2814495236376651</v>
      </c>
      <c r="I34" s="20">
        <v>12</v>
      </c>
      <c r="J34" s="20">
        <v>2.8268109229667786</v>
      </c>
      <c r="K34" s="20">
        <v>-2.2606505108352901</v>
      </c>
      <c r="M34" s="20">
        <v>-5.5400152177288042</v>
      </c>
      <c r="N34" s="20">
        <v>2.1765875169604269E-3</v>
      </c>
      <c r="O34" s="20">
        <v>4.2461084118082013</v>
      </c>
      <c r="P34" s="83">
        <v>1.957213530912558</v>
      </c>
      <c r="Q34" s="20">
        <v>3.8284425768942048</v>
      </c>
      <c r="R34" s="20">
        <v>2.1164773209626255</v>
      </c>
      <c r="S34" s="20">
        <v>5.4857284788174328</v>
      </c>
      <c r="T34" s="83">
        <v>3</v>
      </c>
      <c r="U34" s="20">
        <v>0</v>
      </c>
      <c r="V34" s="20">
        <v>-6.0597309006097246</v>
      </c>
      <c r="W34" s="20">
        <v>-12.784015729787622</v>
      </c>
      <c r="X34" s="83">
        <v>-12.395470617802449</v>
      </c>
      <c r="Y34" s="20">
        <v>-10.706444598378459</v>
      </c>
      <c r="Z34" s="20">
        <v>-8.6801016790722318</v>
      </c>
      <c r="AA34" s="20">
        <v>0.13054359190531967</v>
      </c>
      <c r="AB34" s="83">
        <v>2.2790204049053098</v>
      </c>
      <c r="AC34" s="20">
        <v>8.0122403948673906</v>
      </c>
      <c r="AD34" s="20">
        <v>11.00930371238152</v>
      </c>
      <c r="AE34" s="20">
        <v>14.566938902534291</v>
      </c>
      <c r="AF34" s="83">
        <v>12.815659296637591</v>
      </c>
      <c r="AG34" s="20">
        <v>7.1089961477168186</v>
      </c>
      <c r="AH34" s="20">
        <v>5</v>
      </c>
      <c r="AI34" s="20">
        <v>1.159369283230226</v>
      </c>
      <c r="AJ34" s="83">
        <v>-0.93271480196919532</v>
      </c>
      <c r="AK34" s="20">
        <v>-3</v>
      </c>
      <c r="AL34" s="20">
        <v>-1.6899960775210414</v>
      </c>
      <c r="AM34" s="20">
        <v>-3.7184572727989704</v>
      </c>
      <c r="AN34" s="83">
        <v>-0.36457773099005286</v>
      </c>
      <c r="AO34" s="20">
        <v>-0.23735143203355377</v>
      </c>
      <c r="AP34" s="20">
        <v>-9.6340682957572916</v>
      </c>
    </row>
    <row r="35" spans="1:42">
      <c r="A35" s="19" t="s">
        <v>114</v>
      </c>
      <c r="B35" s="20">
        <v>0</v>
      </c>
      <c r="C35" s="20">
        <v>0</v>
      </c>
      <c r="D35" s="20">
        <v>0.3</v>
      </c>
      <c r="E35" s="20">
        <v>2.5332334222718198</v>
      </c>
      <c r="F35" s="20">
        <v>0</v>
      </c>
      <c r="G35" s="20">
        <v>0.10607846699928622</v>
      </c>
      <c r="H35" s="20">
        <v>3.1038695978260256</v>
      </c>
      <c r="I35" s="20">
        <v>10</v>
      </c>
      <c r="J35" s="20">
        <v>4.8391971995015179</v>
      </c>
      <c r="K35" s="20">
        <v>-1.1336410020398526</v>
      </c>
      <c r="M35" s="20">
        <v>2</v>
      </c>
      <c r="N35" s="20">
        <v>3</v>
      </c>
      <c r="O35" s="20">
        <v>2.8734392118831722</v>
      </c>
      <c r="P35" s="83">
        <v>2.9242258010112425</v>
      </c>
      <c r="Q35" s="20">
        <v>0.45460653825999908</v>
      </c>
      <c r="R35" s="20">
        <v>0.60053449553701088</v>
      </c>
      <c r="S35" s="20">
        <v>0.39286064059843262</v>
      </c>
      <c r="T35" s="83">
        <v>0</v>
      </c>
      <c r="U35" s="20">
        <v>0</v>
      </c>
      <c r="V35" s="20">
        <v>0</v>
      </c>
      <c r="W35" s="20">
        <v>7.5010747319582419E-2</v>
      </c>
      <c r="X35" s="83">
        <v>0.24968235141237682</v>
      </c>
      <c r="Y35" s="20">
        <v>0.20092758105282674</v>
      </c>
      <c r="Z35" s="20">
        <v>0.35825790510248584</v>
      </c>
      <c r="AA35" s="20">
        <v>7.7168720401789779</v>
      </c>
      <c r="AB35" s="83">
        <v>4.1670129673678922</v>
      </c>
      <c r="AC35" s="20">
        <v>4.4871523303978558</v>
      </c>
      <c r="AD35" s="20">
        <v>9.5230369784000697</v>
      </c>
      <c r="AE35" s="20">
        <v>0.46669356140636342</v>
      </c>
      <c r="AF35" s="83">
        <v>25.417842290510244</v>
      </c>
      <c r="AG35" s="791">
        <v>12.493831444191732</v>
      </c>
      <c r="AH35" s="20">
        <v>12</v>
      </c>
      <c r="AI35" s="20">
        <v>5.7521500377641708</v>
      </c>
      <c r="AJ35" s="83">
        <v>-7.885053552577002</v>
      </c>
      <c r="AK35" s="20">
        <v>-2</v>
      </c>
      <c r="AL35" s="20">
        <v>-0.87381563723903088</v>
      </c>
      <c r="AM35" s="20">
        <v>-0.93711896979775067</v>
      </c>
      <c r="AN35" s="83">
        <v>-0.9769729881423117</v>
      </c>
      <c r="AO35" s="20">
        <v>0.37212239796940372</v>
      </c>
      <c r="AP35" s="20">
        <v>-4.3953719093752317E-3</v>
      </c>
    </row>
    <row r="36" spans="1:42">
      <c r="A36" s="21" t="s">
        <v>33</v>
      </c>
      <c r="B36" s="44">
        <v>9</v>
      </c>
      <c r="C36" s="44">
        <v>-5</v>
      </c>
      <c r="D36" s="44">
        <v>13</v>
      </c>
      <c r="E36" s="44">
        <v>17</v>
      </c>
      <c r="F36" s="44">
        <v>12</v>
      </c>
      <c r="G36" s="44">
        <v>-1</v>
      </c>
      <c r="H36" s="44">
        <v>14</v>
      </c>
      <c r="I36" s="44">
        <v>35</v>
      </c>
      <c r="J36" s="44">
        <v>13</v>
      </c>
      <c r="K36" s="44">
        <v>3</v>
      </c>
      <c r="M36" s="44">
        <v>11</v>
      </c>
      <c r="N36" s="44">
        <v>17</v>
      </c>
      <c r="O36" s="44">
        <v>20</v>
      </c>
      <c r="P36" s="84">
        <v>21</v>
      </c>
      <c r="Q36" s="44">
        <v>12</v>
      </c>
      <c r="R36" s="44">
        <v>10</v>
      </c>
      <c r="S36" s="44">
        <v>16</v>
      </c>
      <c r="T36" s="84">
        <v>9</v>
      </c>
      <c r="U36" s="44">
        <v>12</v>
      </c>
      <c r="V36" s="44">
        <v>-9</v>
      </c>
      <c r="W36" s="44">
        <v>-4</v>
      </c>
      <c r="X36" s="84">
        <v>-3</v>
      </c>
      <c r="Y36" s="44">
        <v>-7</v>
      </c>
      <c r="Z36" s="44">
        <v>17</v>
      </c>
      <c r="AA36" s="44">
        <v>21</v>
      </c>
      <c r="AB36" s="84">
        <v>25</v>
      </c>
      <c r="AC36" s="44">
        <v>34</v>
      </c>
      <c r="AD36" s="44">
        <v>35</v>
      </c>
      <c r="AE36" s="44">
        <v>27</v>
      </c>
      <c r="AF36" s="84">
        <v>42</v>
      </c>
      <c r="AG36" s="792">
        <v>25</v>
      </c>
      <c r="AH36" s="44">
        <v>22</v>
      </c>
      <c r="AI36" s="44">
        <v>12</v>
      </c>
      <c r="AJ36" s="84">
        <v>-3</v>
      </c>
      <c r="AK36" s="44">
        <v>4</v>
      </c>
      <c r="AL36" s="44">
        <v>2</v>
      </c>
      <c r="AM36" s="44">
        <v>1</v>
      </c>
      <c r="AN36" s="84">
        <v>6</v>
      </c>
      <c r="AO36" s="44">
        <v>1</v>
      </c>
      <c r="AP36" s="44">
        <v>-7</v>
      </c>
    </row>
    <row r="37" spans="1:42">
      <c r="A37" s="19" t="s">
        <v>107</v>
      </c>
      <c r="B37" s="15">
        <v>11437</v>
      </c>
      <c r="C37" s="15">
        <v>10907</v>
      </c>
      <c r="D37" s="15">
        <v>12328</v>
      </c>
      <c r="E37" s="15">
        <v>14450.796396692302</v>
      </c>
      <c r="F37" s="15">
        <v>16154</v>
      </c>
      <c r="G37" s="15">
        <v>15926</v>
      </c>
      <c r="H37" s="15">
        <v>18110</v>
      </c>
      <c r="I37" s="15">
        <v>24377</v>
      </c>
      <c r="J37" s="15">
        <v>27487</v>
      </c>
      <c r="K37" s="15">
        <v>27321</v>
      </c>
      <c r="M37" s="15">
        <v>3388</v>
      </c>
      <c r="N37" s="15">
        <v>3713</v>
      </c>
      <c r="O37" s="15">
        <v>3589</v>
      </c>
      <c r="P37" s="85">
        <v>3761</v>
      </c>
      <c r="Q37" s="15">
        <v>3806</v>
      </c>
      <c r="R37" s="15">
        <v>4097</v>
      </c>
      <c r="S37" s="15">
        <v>4147</v>
      </c>
      <c r="T37" s="85">
        <v>4104</v>
      </c>
      <c r="U37" s="15">
        <v>4251</v>
      </c>
      <c r="V37" s="15">
        <v>3719</v>
      </c>
      <c r="W37" s="15">
        <v>3969</v>
      </c>
      <c r="X37" s="85">
        <v>3987</v>
      </c>
      <c r="Y37" s="15">
        <v>3963</v>
      </c>
      <c r="Z37" s="15">
        <v>4357</v>
      </c>
      <c r="AA37" s="15">
        <v>4804</v>
      </c>
      <c r="AB37" s="85">
        <v>4986.6067298109001</v>
      </c>
      <c r="AC37" s="15">
        <v>5303</v>
      </c>
      <c r="AD37" s="15">
        <v>5885.3408332844001</v>
      </c>
      <c r="AE37" s="15">
        <v>6088.7370020572998</v>
      </c>
      <c r="AF37" s="85">
        <v>7099.7996824970996</v>
      </c>
      <c r="AG37" s="794">
        <v>6632.7538319230007</v>
      </c>
      <c r="AH37" s="15">
        <v>7167</v>
      </c>
      <c r="AI37" s="15">
        <v>6823.5668097205007</v>
      </c>
      <c r="AJ37" s="85">
        <v>6864.2130493693003</v>
      </c>
      <c r="AK37" s="15">
        <v>6621</v>
      </c>
      <c r="AL37" s="15">
        <v>6982.3443004990995</v>
      </c>
      <c r="AM37" s="15">
        <v>6659.6100666918001</v>
      </c>
      <c r="AN37" s="85">
        <v>7058.7798564472996</v>
      </c>
      <c r="AO37" s="15">
        <v>6655.3779729674006</v>
      </c>
      <c r="AP37" s="15">
        <v>6496.7036407718006</v>
      </c>
    </row>
    <row r="38" spans="1:42">
      <c r="A38" s="19"/>
      <c r="B38" s="20"/>
      <c r="C38" s="20"/>
      <c r="D38" s="20"/>
      <c r="E38" s="20"/>
      <c r="F38" s="20"/>
      <c r="G38" s="20"/>
      <c r="H38" s="20"/>
      <c r="I38" s="20"/>
      <c r="J38" s="20"/>
      <c r="K38" s="20"/>
      <c r="M38" s="20"/>
      <c r="N38" s="20"/>
      <c r="O38" s="20"/>
      <c r="P38" s="83"/>
      <c r="Q38" s="20"/>
      <c r="R38" s="20"/>
      <c r="S38" s="20"/>
      <c r="T38" s="83"/>
      <c r="U38" s="20"/>
      <c r="V38" s="20"/>
      <c r="W38" s="20"/>
      <c r="X38" s="83"/>
      <c r="Y38" s="20"/>
      <c r="Z38" s="20"/>
      <c r="AA38" s="20"/>
      <c r="AB38" s="83"/>
      <c r="AC38" s="20"/>
      <c r="AD38" s="20"/>
      <c r="AE38" s="20"/>
      <c r="AF38" s="83"/>
      <c r="AG38" s="20"/>
      <c r="AH38" s="20"/>
      <c r="AI38" s="20"/>
      <c r="AJ38" s="83"/>
      <c r="AK38" s="20"/>
      <c r="AL38" s="20"/>
      <c r="AM38" s="20"/>
      <c r="AN38" s="83"/>
      <c r="AO38" s="20"/>
      <c r="AP38" s="20"/>
    </row>
    <row r="39" spans="1:42" ht="10.5">
      <c r="A39" s="753" t="s">
        <v>71</v>
      </c>
      <c r="B39" s="596">
        <v>2015</v>
      </c>
      <c r="C39" s="596">
        <v>2016</v>
      </c>
      <c r="D39" s="596">
        <v>2017</v>
      </c>
      <c r="E39" s="596">
        <v>2018</v>
      </c>
      <c r="F39" s="596">
        <v>2019</v>
      </c>
      <c r="G39" s="596">
        <v>2020</v>
      </c>
      <c r="H39" s="596">
        <v>2021</v>
      </c>
      <c r="I39" s="596">
        <v>2022</v>
      </c>
      <c r="J39" s="596">
        <v>2023</v>
      </c>
      <c r="K39" s="596">
        <v>2024</v>
      </c>
      <c r="L39" s="459"/>
      <c r="M39" s="596" t="s">
        <v>764</v>
      </c>
      <c r="N39" s="596" t="s">
        <v>765</v>
      </c>
      <c r="O39" s="596" t="s">
        <v>766</v>
      </c>
      <c r="P39" s="599" t="s">
        <v>767</v>
      </c>
      <c r="Q39" s="596" t="s">
        <v>768</v>
      </c>
      <c r="R39" s="596" t="s">
        <v>730</v>
      </c>
      <c r="S39" s="596" t="s">
        <v>731</v>
      </c>
      <c r="T39" s="599" t="s">
        <v>732</v>
      </c>
      <c r="U39" s="596" t="s">
        <v>733</v>
      </c>
      <c r="V39" s="596" t="s">
        <v>626</v>
      </c>
      <c r="W39" s="596" t="s">
        <v>620</v>
      </c>
      <c r="X39" s="599" t="s">
        <v>619</v>
      </c>
      <c r="Y39" s="596" t="s">
        <v>614</v>
      </c>
      <c r="Z39" s="596" t="s">
        <v>604</v>
      </c>
      <c r="AA39" s="596" t="s">
        <v>589</v>
      </c>
      <c r="AB39" s="599" t="s">
        <v>587</v>
      </c>
      <c r="AC39" s="596" t="s">
        <v>504</v>
      </c>
      <c r="AD39" s="596" t="s">
        <v>551</v>
      </c>
      <c r="AE39" s="596" t="s">
        <v>532</v>
      </c>
      <c r="AF39" s="599" t="s">
        <v>530</v>
      </c>
      <c r="AG39" s="596" t="s">
        <v>803</v>
      </c>
      <c r="AH39" s="596" t="s">
        <v>812</v>
      </c>
      <c r="AI39" s="596" t="s">
        <v>816</v>
      </c>
      <c r="AJ39" s="599" t="s">
        <v>835</v>
      </c>
      <c r="AK39" s="596" t="s">
        <v>872</v>
      </c>
      <c r="AL39" s="596" t="s">
        <v>986</v>
      </c>
      <c r="AM39" s="596" t="s">
        <v>1016</v>
      </c>
      <c r="AN39" s="599" t="s">
        <v>1039</v>
      </c>
      <c r="AO39" s="596" t="s">
        <v>1076</v>
      </c>
      <c r="AP39" s="596" t="s">
        <v>1285</v>
      </c>
    </row>
    <row r="40" spans="1:42">
      <c r="A40" s="23" t="s">
        <v>106</v>
      </c>
      <c r="B40" s="47">
        <v>7819</v>
      </c>
      <c r="C40" s="47">
        <v>8109</v>
      </c>
      <c r="D40" s="47">
        <v>7947</v>
      </c>
      <c r="E40" s="47">
        <v>9046.9119178254005</v>
      </c>
      <c r="F40" s="47">
        <v>9611</v>
      </c>
      <c r="G40" s="47">
        <v>10767</v>
      </c>
      <c r="H40" s="47">
        <v>9185</v>
      </c>
      <c r="I40" s="47">
        <v>11025</v>
      </c>
      <c r="J40" s="47">
        <v>10670</v>
      </c>
      <c r="K40" s="47">
        <v>12064</v>
      </c>
      <c r="M40" s="47">
        <v>2341</v>
      </c>
      <c r="N40" s="47">
        <v>2270</v>
      </c>
      <c r="O40" s="47">
        <v>2239</v>
      </c>
      <c r="P40" s="82">
        <v>2197</v>
      </c>
      <c r="Q40" s="47">
        <v>2550</v>
      </c>
      <c r="R40" s="47">
        <v>2470</v>
      </c>
      <c r="S40" s="47">
        <v>2285</v>
      </c>
      <c r="T40" s="82">
        <v>2306</v>
      </c>
      <c r="U40" s="47">
        <v>2760</v>
      </c>
      <c r="V40" s="47">
        <v>2826</v>
      </c>
      <c r="W40" s="47">
        <v>2665</v>
      </c>
      <c r="X40" s="82">
        <v>2517</v>
      </c>
      <c r="Y40" s="47">
        <v>2619</v>
      </c>
      <c r="Z40" s="47">
        <v>1980</v>
      </c>
      <c r="AA40" s="47">
        <v>2249</v>
      </c>
      <c r="AB40" s="82">
        <v>2336.7296487217</v>
      </c>
      <c r="AC40" s="47">
        <v>2674</v>
      </c>
      <c r="AD40" s="47">
        <v>2678.1897058862</v>
      </c>
      <c r="AE40" s="47">
        <v>2865.7169198725001</v>
      </c>
      <c r="AF40" s="82">
        <v>2806.7545752073001</v>
      </c>
      <c r="AG40" s="47">
        <v>2969.734969355</v>
      </c>
      <c r="AH40" s="47">
        <v>2495</v>
      </c>
      <c r="AI40" s="47">
        <v>2501.9835914729001</v>
      </c>
      <c r="AJ40" s="82">
        <v>2702.5942401177999</v>
      </c>
      <c r="AK40" s="47">
        <v>3133</v>
      </c>
      <c r="AL40" s="47">
        <v>3179.7004841978001</v>
      </c>
      <c r="AM40" s="47">
        <v>2924.4664529245001</v>
      </c>
      <c r="AN40" s="82">
        <v>2826.5591424526001</v>
      </c>
      <c r="AO40" s="47">
        <v>3121.6294955535</v>
      </c>
      <c r="AP40" s="47">
        <v>3946.5945244220998</v>
      </c>
    </row>
    <row r="41" spans="1:42">
      <c r="A41" s="19" t="s">
        <v>68</v>
      </c>
      <c r="B41" s="20">
        <v>-3.3</v>
      </c>
      <c r="C41" s="20">
        <v>0.2</v>
      </c>
      <c r="D41" s="20">
        <v>10.7</v>
      </c>
      <c r="E41" s="20">
        <v>4</v>
      </c>
      <c r="F41" s="20">
        <v>-3</v>
      </c>
      <c r="G41" s="20">
        <v>-7</v>
      </c>
      <c r="H41" s="20">
        <v>20</v>
      </c>
      <c r="I41" s="20">
        <v>-4</v>
      </c>
      <c r="J41" s="20">
        <v>-4</v>
      </c>
      <c r="K41" s="20">
        <v>-1</v>
      </c>
      <c r="M41" s="20">
        <v>13</v>
      </c>
      <c r="N41" s="20">
        <v>6.4912047924012608</v>
      </c>
      <c r="O41" s="20">
        <v>-4</v>
      </c>
      <c r="P41" s="83">
        <v>1</v>
      </c>
      <c r="Q41" s="20">
        <v>-1</v>
      </c>
      <c r="R41" s="20">
        <v>-2</v>
      </c>
      <c r="S41" s="20">
        <v>-3</v>
      </c>
      <c r="T41" s="83">
        <v>-4</v>
      </c>
      <c r="U41" s="20">
        <v>-7</v>
      </c>
      <c r="V41" s="20">
        <v>-22</v>
      </c>
      <c r="W41" s="20">
        <v>-3</v>
      </c>
      <c r="X41" s="83">
        <v>5</v>
      </c>
      <c r="Y41" s="20">
        <v>14</v>
      </c>
      <c r="Z41" s="20">
        <v>42</v>
      </c>
      <c r="AA41" s="20">
        <v>14</v>
      </c>
      <c r="AB41" s="83">
        <v>16</v>
      </c>
      <c r="AC41" s="20">
        <v>11</v>
      </c>
      <c r="AD41" s="20">
        <v>-8</v>
      </c>
      <c r="AE41" s="20">
        <v>-10</v>
      </c>
      <c r="AF41" s="83">
        <v>-7</v>
      </c>
      <c r="AG41" s="20">
        <v>-10</v>
      </c>
      <c r="AH41" s="20">
        <v>-1</v>
      </c>
      <c r="AI41" s="20">
        <v>2</v>
      </c>
      <c r="AJ41" s="83">
        <v>-6</v>
      </c>
      <c r="AK41" s="20">
        <v>-1</v>
      </c>
      <c r="AL41" s="20">
        <v>-6</v>
      </c>
      <c r="AM41" s="20">
        <v>0</v>
      </c>
      <c r="AN41" s="83">
        <v>3</v>
      </c>
      <c r="AO41" s="20">
        <v>2</v>
      </c>
      <c r="AP41" s="20">
        <v>2</v>
      </c>
    </row>
    <row r="42" spans="1:42">
      <c r="A42" s="19" t="s">
        <v>32</v>
      </c>
      <c r="B42" s="20">
        <v>7</v>
      </c>
      <c r="C42" s="20">
        <v>-2</v>
      </c>
      <c r="D42" s="20">
        <v>2</v>
      </c>
      <c r="E42" s="20">
        <v>1.1586400491804034</v>
      </c>
      <c r="F42" s="20">
        <v>4</v>
      </c>
      <c r="G42" s="20">
        <v>-5.971418616766071</v>
      </c>
      <c r="H42" s="20">
        <v>-4.083182608544794</v>
      </c>
      <c r="I42" s="20">
        <v>10</v>
      </c>
      <c r="J42" s="20">
        <v>1.8871423424659326</v>
      </c>
      <c r="K42" s="20">
        <v>-1.2789383460010324</v>
      </c>
      <c r="M42" s="20">
        <v>-5</v>
      </c>
      <c r="N42" s="20">
        <v>1.6220011635119005</v>
      </c>
      <c r="O42" s="20">
        <v>4.5202872883908931</v>
      </c>
      <c r="P42" s="83">
        <v>3.3255581517195836</v>
      </c>
      <c r="Q42" s="20">
        <v>4.2654307786442214</v>
      </c>
      <c r="R42" s="20">
        <v>2.42606750478497</v>
      </c>
      <c r="S42" s="20">
        <v>5.3119620897946387</v>
      </c>
      <c r="T42" s="83">
        <v>3</v>
      </c>
      <c r="U42" s="20">
        <v>2</v>
      </c>
      <c r="V42" s="20">
        <v>-3.9657663695967322</v>
      </c>
      <c r="W42" s="20">
        <v>-10.629186939252701</v>
      </c>
      <c r="X42" s="83">
        <v>-11.172206583033395</v>
      </c>
      <c r="Y42" s="20">
        <v>-11.588156910275133</v>
      </c>
      <c r="Z42" s="20">
        <v>-7.3044925465504642</v>
      </c>
      <c r="AA42" s="20">
        <v>2.2885422220546401</v>
      </c>
      <c r="AB42" s="83">
        <v>0.92564885192998547</v>
      </c>
      <c r="AC42" s="20">
        <v>7.5606167218913791</v>
      </c>
      <c r="AD42" s="20">
        <v>9.0928274090434282</v>
      </c>
      <c r="AE42" s="20">
        <v>11.653780883098058</v>
      </c>
      <c r="AF42" s="83">
        <v>9.9677228808328753</v>
      </c>
      <c r="AG42" s="20">
        <v>4.9636051196080748</v>
      </c>
      <c r="AH42" s="20">
        <v>3</v>
      </c>
      <c r="AI42" s="20">
        <v>0.48977256283228221</v>
      </c>
      <c r="AJ42" s="83">
        <v>-1.2133929898359495</v>
      </c>
      <c r="AK42" s="20">
        <v>-2</v>
      </c>
      <c r="AL42" s="20">
        <v>-0.61653814045777544</v>
      </c>
      <c r="AM42" s="20">
        <v>-3.4200063187536953</v>
      </c>
      <c r="AN42" s="83">
        <v>1.3149713190309902</v>
      </c>
      <c r="AO42" s="20">
        <v>-1.5795791515372335E-3</v>
      </c>
      <c r="AP42" s="20">
        <v>-8.8946880061716609</v>
      </c>
    </row>
    <row r="43" spans="1:42">
      <c r="A43" s="19" t="s">
        <v>114</v>
      </c>
      <c r="B43" s="20">
        <v>0.1</v>
      </c>
      <c r="C43" s="20">
        <v>0</v>
      </c>
      <c r="D43" s="20">
        <v>1.1000000000000001</v>
      </c>
      <c r="E43" s="20">
        <v>0.86727794334444475</v>
      </c>
      <c r="F43" s="20">
        <v>11</v>
      </c>
      <c r="G43" s="20">
        <v>-1.7595896260006456</v>
      </c>
      <c r="H43" s="20">
        <v>3.5080348587870707</v>
      </c>
      <c r="I43" s="20">
        <v>1</v>
      </c>
      <c r="J43" s="20">
        <v>19.303569655857988</v>
      </c>
      <c r="K43" s="20">
        <v>24.092480809260437</v>
      </c>
      <c r="M43" s="20">
        <v>1</v>
      </c>
      <c r="N43" s="20">
        <v>1</v>
      </c>
      <c r="O43" s="20">
        <v>1.3710515320232382</v>
      </c>
      <c r="P43" s="83">
        <v>0.50981290958297043</v>
      </c>
      <c r="Q43" s="20">
        <v>5.467123022559643</v>
      </c>
      <c r="R43" s="20">
        <v>14.203290021702189</v>
      </c>
      <c r="S43" s="20">
        <v>14.732231754079745</v>
      </c>
      <c r="T43" s="83">
        <v>10</v>
      </c>
      <c r="U43" s="20">
        <v>0</v>
      </c>
      <c r="V43" s="20">
        <v>-4.4901305826913047</v>
      </c>
      <c r="W43" s="20">
        <v>-1.8777001908363027</v>
      </c>
      <c r="X43" s="83">
        <v>-0.70748613713816344</v>
      </c>
      <c r="Y43" s="20">
        <v>0</v>
      </c>
      <c r="Z43" s="20">
        <v>0</v>
      </c>
      <c r="AA43" s="20">
        <v>10.871206150999994</v>
      </c>
      <c r="AB43" s="83">
        <v>3.3254085674142364</v>
      </c>
      <c r="AC43" s="20">
        <v>3.1725313915130671</v>
      </c>
      <c r="AD43" s="20">
        <v>3.7352494999714074</v>
      </c>
      <c r="AE43" s="20">
        <v>-5.1811017976718343</v>
      </c>
      <c r="AF43" s="83">
        <v>2.2015052470045848</v>
      </c>
      <c r="AG43" s="791">
        <v>24.136204449664248</v>
      </c>
      <c r="AH43" s="20">
        <v>25</v>
      </c>
      <c r="AI43" s="20">
        <v>15.283953967095467</v>
      </c>
      <c r="AJ43" s="83">
        <v>12.044235082711193</v>
      </c>
      <c r="AK43" s="20">
        <v>3</v>
      </c>
      <c r="AL43" s="20">
        <v>31.36507463028898</v>
      </c>
      <c r="AM43" s="20">
        <v>27.744695347820585</v>
      </c>
      <c r="AN43" s="83">
        <v>35.098620150635561</v>
      </c>
      <c r="AO43" s="20">
        <v>32.484298568677495</v>
      </c>
      <c r="AP43" s="20">
        <v>2.0596695461843231</v>
      </c>
    </row>
    <row r="44" spans="1:42">
      <c r="A44" s="21" t="s">
        <v>33</v>
      </c>
      <c r="B44" s="44">
        <v>4</v>
      </c>
      <c r="C44" s="44">
        <v>-2</v>
      </c>
      <c r="D44" s="44">
        <v>14</v>
      </c>
      <c r="E44" s="44">
        <v>6</v>
      </c>
      <c r="F44" s="44">
        <v>12</v>
      </c>
      <c r="G44" s="44">
        <v>-15</v>
      </c>
      <c r="H44" s="44">
        <v>20</v>
      </c>
      <c r="I44" s="44">
        <v>7</v>
      </c>
      <c r="J44" s="44">
        <v>17</v>
      </c>
      <c r="K44" s="44">
        <v>22</v>
      </c>
      <c r="M44" s="44">
        <v>9</v>
      </c>
      <c r="N44" s="44">
        <v>9</v>
      </c>
      <c r="O44" s="44">
        <v>2</v>
      </c>
      <c r="P44" s="84">
        <v>5</v>
      </c>
      <c r="Q44" s="44">
        <v>8</v>
      </c>
      <c r="R44" s="44">
        <v>14</v>
      </c>
      <c r="S44" s="44">
        <v>17</v>
      </c>
      <c r="T44" s="84">
        <v>9</v>
      </c>
      <c r="U44" s="44">
        <v>-5</v>
      </c>
      <c r="V44" s="44">
        <v>-30</v>
      </c>
      <c r="W44" s="44">
        <v>-16</v>
      </c>
      <c r="X44" s="84">
        <v>-7</v>
      </c>
      <c r="Y44" s="44">
        <v>2</v>
      </c>
      <c r="Z44" s="44">
        <v>35</v>
      </c>
      <c r="AA44" s="44">
        <v>27</v>
      </c>
      <c r="AB44" s="84">
        <v>20</v>
      </c>
      <c r="AC44" s="44">
        <v>22</v>
      </c>
      <c r="AD44" s="44">
        <v>5</v>
      </c>
      <c r="AE44" s="44">
        <v>-3</v>
      </c>
      <c r="AF44" s="84">
        <v>5</v>
      </c>
      <c r="AG44" s="792">
        <v>19</v>
      </c>
      <c r="AH44" s="44">
        <v>27</v>
      </c>
      <c r="AI44" s="44">
        <v>17</v>
      </c>
      <c r="AJ44" s="84">
        <v>5</v>
      </c>
      <c r="AK44" s="44">
        <v>0</v>
      </c>
      <c r="AL44" s="44">
        <v>24</v>
      </c>
      <c r="AM44" s="44">
        <v>25</v>
      </c>
      <c r="AN44" s="84">
        <v>39</v>
      </c>
      <c r="AO44" s="44">
        <v>34</v>
      </c>
      <c r="AP44" s="44">
        <v>-5</v>
      </c>
    </row>
    <row r="45" spans="1:42">
      <c r="A45" s="19" t="s">
        <v>107</v>
      </c>
      <c r="B45" s="47">
        <v>8109</v>
      </c>
      <c r="C45" s="47">
        <v>7947</v>
      </c>
      <c r="D45" s="47">
        <v>9047</v>
      </c>
      <c r="E45" s="47">
        <v>9611.2349159613004</v>
      </c>
      <c r="F45" s="47">
        <v>10768</v>
      </c>
      <c r="G45" s="47">
        <v>9185</v>
      </c>
      <c r="H45" s="47">
        <v>11025</v>
      </c>
      <c r="I45" s="47">
        <v>11795</v>
      </c>
      <c r="J45" s="47">
        <v>12466</v>
      </c>
      <c r="K45" s="47">
        <v>14663</v>
      </c>
      <c r="M45" s="47">
        <v>2550</v>
      </c>
      <c r="N45" s="47">
        <v>2470</v>
      </c>
      <c r="O45" s="47">
        <v>2285</v>
      </c>
      <c r="P45" s="82">
        <v>2306</v>
      </c>
      <c r="Q45" s="47">
        <v>2760</v>
      </c>
      <c r="R45" s="47">
        <v>2826</v>
      </c>
      <c r="S45" s="47">
        <v>2665</v>
      </c>
      <c r="T45" s="82">
        <v>2517</v>
      </c>
      <c r="U45" s="47">
        <v>2619</v>
      </c>
      <c r="V45" s="47">
        <v>1980</v>
      </c>
      <c r="W45" s="47">
        <v>2249</v>
      </c>
      <c r="X45" s="82">
        <v>2337</v>
      </c>
      <c r="Y45" s="47">
        <v>2674</v>
      </c>
      <c r="Z45" s="47">
        <v>2678</v>
      </c>
      <c r="AA45" s="47">
        <v>2866</v>
      </c>
      <c r="AB45" s="82">
        <v>2806.7545752070996</v>
      </c>
      <c r="AC45" s="47">
        <v>3263</v>
      </c>
      <c r="AD45" s="47">
        <v>2824.9741680732</v>
      </c>
      <c r="AE45" s="47">
        <v>2767.2100897839</v>
      </c>
      <c r="AF45" s="82">
        <v>2940.0688603729</v>
      </c>
      <c r="AG45" s="793">
        <v>3534.8958989036</v>
      </c>
      <c r="AH45" s="47">
        <v>3180</v>
      </c>
      <c r="AI45" s="47">
        <v>2924.2664529246999</v>
      </c>
      <c r="AJ45" s="82">
        <v>2826.5591424527001</v>
      </c>
      <c r="AK45" s="47">
        <v>3122</v>
      </c>
      <c r="AL45" s="47">
        <v>3946.5945244220002</v>
      </c>
      <c r="AM45" s="47">
        <v>3656.4140737458001</v>
      </c>
      <c r="AN45" s="82">
        <v>3937.7525133742001</v>
      </c>
      <c r="AO45" s="47">
        <v>4187.0443860789001</v>
      </c>
      <c r="AP45" s="47">
        <v>3743.1885320716997</v>
      </c>
    </row>
    <row r="46" spans="1:42">
      <c r="A46" s="461" t="s">
        <v>489</v>
      </c>
      <c r="B46" s="47"/>
      <c r="C46" s="47"/>
      <c r="D46" s="47"/>
      <c r="E46" s="47"/>
      <c r="F46" s="47"/>
      <c r="G46" s="47"/>
      <c r="H46" s="47"/>
      <c r="I46" s="47"/>
      <c r="J46" s="47"/>
      <c r="K46" s="47"/>
      <c r="M46" s="47"/>
      <c r="N46" s="47"/>
      <c r="O46" s="47"/>
      <c r="P46" s="82"/>
      <c r="Q46" s="47"/>
      <c r="R46" s="47"/>
      <c r="S46" s="47"/>
      <c r="T46" s="82"/>
      <c r="U46" s="47"/>
      <c r="V46" s="47"/>
      <c r="W46" s="47"/>
      <c r="X46" s="400"/>
      <c r="Y46" s="47"/>
      <c r="Z46" s="47"/>
      <c r="AA46" s="47"/>
      <c r="AB46" s="400"/>
      <c r="AC46" s="47">
        <v>10</v>
      </c>
      <c r="AD46" s="47">
        <v>-18</v>
      </c>
      <c r="AE46" s="47">
        <v>-5</v>
      </c>
      <c r="AF46" s="400">
        <v>4</v>
      </c>
      <c r="AG46" s="47">
        <v>33</v>
      </c>
      <c r="AH46" s="47">
        <v>-11</v>
      </c>
      <c r="AI46" s="47">
        <v>-9</v>
      </c>
      <c r="AJ46" s="400">
        <v>0</v>
      </c>
      <c r="AK46" s="47">
        <v>14</v>
      </c>
      <c r="AL46" s="47">
        <v>-10</v>
      </c>
      <c r="AM46" s="47">
        <v>-6</v>
      </c>
      <c r="AN46" s="400">
        <v>5</v>
      </c>
      <c r="AO46" s="47">
        <v>9.6999999999999993</v>
      </c>
      <c r="AP46" s="47">
        <v>-1.2</v>
      </c>
    </row>
    <row r="47" spans="1:42">
      <c r="A47" s="707" t="s">
        <v>912</v>
      </c>
      <c r="B47" s="413"/>
      <c r="C47" s="413"/>
      <c r="D47" s="413"/>
      <c r="E47" s="413"/>
      <c r="F47" s="413"/>
      <c r="G47" s="413"/>
      <c r="H47" s="413"/>
      <c r="I47" s="413"/>
      <c r="J47" s="413"/>
      <c r="K47" s="413"/>
      <c r="L47" s="107"/>
      <c r="M47" s="413"/>
      <c r="N47" s="413"/>
      <c r="O47" s="413"/>
      <c r="P47" s="400"/>
      <c r="Q47" s="413"/>
      <c r="R47" s="413"/>
      <c r="S47" s="413"/>
      <c r="T47" s="400"/>
      <c r="U47" s="413"/>
      <c r="V47" s="413"/>
      <c r="W47" s="413"/>
      <c r="X47" s="400"/>
      <c r="Y47" s="413"/>
      <c r="Z47" s="413"/>
      <c r="AA47" s="413" t="s">
        <v>909</v>
      </c>
      <c r="AB47" s="400" t="s">
        <v>904</v>
      </c>
      <c r="AC47" s="413" t="s">
        <v>904</v>
      </c>
      <c r="AD47" s="413" t="s">
        <v>113</v>
      </c>
      <c r="AE47" s="107" t="s">
        <v>904</v>
      </c>
      <c r="AF47" s="400" t="s">
        <v>910</v>
      </c>
      <c r="AG47" s="413" t="s">
        <v>911</v>
      </c>
      <c r="AH47" s="413" t="s">
        <v>904</v>
      </c>
      <c r="AI47" s="413" t="s">
        <v>904</v>
      </c>
      <c r="AJ47" s="400" t="s">
        <v>904</v>
      </c>
      <c r="AK47" s="413"/>
      <c r="AL47" s="413"/>
      <c r="AM47" s="413"/>
      <c r="AN47" s="400"/>
      <c r="AO47" s="413"/>
      <c r="AP47" s="413"/>
    </row>
    <row r="48" spans="1:42" ht="30">
      <c r="A48" s="461" t="s">
        <v>965</v>
      </c>
      <c r="B48" s="20"/>
      <c r="C48" s="20"/>
      <c r="M48" s="20"/>
      <c r="P48" s="80"/>
      <c r="T48" s="80"/>
      <c r="X48" s="80"/>
      <c r="AB48" s="80"/>
      <c r="AF48" s="80"/>
      <c r="AJ48" s="80"/>
      <c r="AN48" s="80"/>
    </row>
    <row r="49" spans="1:42">
      <c r="A49" s="19"/>
      <c r="B49" s="20"/>
      <c r="C49" s="20"/>
      <c r="M49" s="20"/>
      <c r="P49" s="80"/>
      <c r="T49" s="80"/>
      <c r="X49" s="80"/>
      <c r="AB49" s="80"/>
      <c r="AF49" s="80"/>
      <c r="AJ49" s="80"/>
      <c r="AN49" s="80"/>
    </row>
    <row r="50" spans="1:42">
      <c r="A50" s="451" t="s">
        <v>486</v>
      </c>
      <c r="B50" s="452">
        <v>2015</v>
      </c>
      <c r="C50" s="452">
        <v>2016</v>
      </c>
      <c r="D50" s="452">
        <v>2017</v>
      </c>
      <c r="E50" s="452">
        <v>2018</v>
      </c>
      <c r="F50" s="452">
        <v>2019</v>
      </c>
      <c r="G50" s="452">
        <v>2020</v>
      </c>
      <c r="H50" s="452">
        <v>2021</v>
      </c>
      <c r="I50" s="452">
        <v>2022</v>
      </c>
      <c r="J50" s="452">
        <v>2023</v>
      </c>
      <c r="K50" s="452"/>
      <c r="L50" s="453"/>
      <c r="M50" s="452">
        <v>2018</v>
      </c>
      <c r="N50" s="452"/>
      <c r="O50" s="452"/>
      <c r="P50" s="454"/>
      <c r="Q50" s="452">
        <v>2019</v>
      </c>
      <c r="R50" s="452"/>
      <c r="S50" s="452"/>
      <c r="T50" s="454"/>
      <c r="U50" s="452">
        <v>2020</v>
      </c>
      <c r="V50" s="452"/>
      <c r="W50" s="452"/>
      <c r="X50" s="454"/>
      <c r="Y50" s="452">
        <v>2021</v>
      </c>
      <c r="Z50" s="452"/>
      <c r="AA50" s="452"/>
      <c r="AB50" s="454" t="s">
        <v>257</v>
      </c>
      <c r="AC50" s="452">
        <v>2022</v>
      </c>
      <c r="AD50" s="452" t="s">
        <v>257</v>
      </c>
      <c r="AE50" s="452" t="s">
        <v>257</v>
      </c>
      <c r="AF50" s="454" t="s">
        <v>257</v>
      </c>
      <c r="AG50" s="786">
        <v>2023</v>
      </c>
      <c r="AH50" s="786"/>
      <c r="AI50" s="786"/>
      <c r="AJ50" s="787"/>
      <c r="AK50" s="452"/>
      <c r="AL50" s="452"/>
      <c r="AM50" s="452"/>
      <c r="AN50" s="787"/>
      <c r="AO50" s="452"/>
      <c r="AP50" s="452"/>
    </row>
    <row r="51" spans="1:42">
      <c r="A51" s="455"/>
      <c r="B51" s="456" t="s">
        <v>59</v>
      </c>
      <c r="C51" s="456" t="s">
        <v>59</v>
      </c>
      <c r="D51" s="456" t="s">
        <v>59</v>
      </c>
      <c r="E51" s="456" t="s">
        <v>59</v>
      </c>
      <c r="F51" s="456" t="s">
        <v>59</v>
      </c>
      <c r="G51" s="456" t="s">
        <v>59</v>
      </c>
      <c r="H51" s="456" t="s">
        <v>59</v>
      </c>
      <c r="I51" s="456" t="s">
        <v>59</v>
      </c>
      <c r="J51" s="456" t="s">
        <v>400</v>
      </c>
      <c r="K51" s="456"/>
      <c r="L51" s="453"/>
      <c r="M51" s="456" t="s">
        <v>14</v>
      </c>
      <c r="N51" s="456" t="s">
        <v>15</v>
      </c>
      <c r="O51" s="456" t="s">
        <v>16</v>
      </c>
      <c r="P51" s="457" t="s">
        <v>17</v>
      </c>
      <c r="Q51" s="456" t="s">
        <v>14</v>
      </c>
      <c r="R51" s="456" t="s">
        <v>15</v>
      </c>
      <c r="S51" s="456" t="s">
        <v>16</v>
      </c>
      <c r="T51" s="457" t="s">
        <v>17</v>
      </c>
      <c r="U51" s="456" t="s">
        <v>14</v>
      </c>
      <c r="V51" s="456" t="s">
        <v>15</v>
      </c>
      <c r="W51" s="456" t="s">
        <v>16</v>
      </c>
      <c r="X51" s="457" t="s">
        <v>17</v>
      </c>
      <c r="Y51" s="456" t="s">
        <v>14</v>
      </c>
      <c r="Z51" s="456" t="s">
        <v>15</v>
      </c>
      <c r="AA51" s="456" t="s">
        <v>16</v>
      </c>
      <c r="AB51" s="457" t="s">
        <v>17</v>
      </c>
      <c r="AC51" s="456" t="s">
        <v>14</v>
      </c>
      <c r="AD51" s="456" t="s">
        <v>15</v>
      </c>
      <c r="AE51" s="456" t="s">
        <v>16</v>
      </c>
      <c r="AF51" s="457" t="s">
        <v>17</v>
      </c>
      <c r="AG51" s="788" t="s">
        <v>14</v>
      </c>
      <c r="AH51" s="788" t="s">
        <v>15</v>
      </c>
      <c r="AI51" s="788" t="s">
        <v>16</v>
      </c>
      <c r="AJ51" s="789" t="s">
        <v>17</v>
      </c>
      <c r="AK51" s="456"/>
      <c r="AL51" s="456"/>
      <c r="AM51" s="456"/>
      <c r="AN51" s="789"/>
      <c r="AO51" s="456"/>
      <c r="AP51" s="456"/>
    </row>
    <row r="52" spans="1:42">
      <c r="A52" s="458" t="s">
        <v>487</v>
      </c>
      <c r="B52" s="458"/>
      <c r="C52" s="458"/>
      <c r="D52" s="458"/>
      <c r="E52" s="458"/>
      <c r="F52" s="458"/>
      <c r="G52" s="458"/>
      <c r="H52" s="458"/>
      <c r="I52" s="458">
        <v>11</v>
      </c>
      <c r="J52" s="458"/>
      <c r="K52" s="458"/>
      <c r="L52" s="458"/>
      <c r="M52" s="458"/>
      <c r="N52" s="458"/>
      <c r="O52" s="458"/>
      <c r="P52" s="458"/>
      <c r="Q52" s="458"/>
      <c r="R52" s="458"/>
      <c r="S52" s="458"/>
      <c r="T52" s="458"/>
      <c r="U52" s="458"/>
      <c r="V52" s="458"/>
      <c r="W52" s="458"/>
      <c r="X52" s="458"/>
      <c r="Y52" s="458"/>
      <c r="Z52" s="458"/>
      <c r="AA52" s="458"/>
      <c r="AB52" s="458"/>
      <c r="AC52" s="458"/>
      <c r="AD52" s="458">
        <v>18</v>
      </c>
      <c r="AE52" s="458">
        <v>5</v>
      </c>
      <c r="AF52" s="615">
        <v>3</v>
      </c>
      <c r="AG52" s="461">
        <v>1</v>
      </c>
      <c r="AH52" s="461">
        <v>-4</v>
      </c>
      <c r="AI52" s="461">
        <v>0</v>
      </c>
      <c r="AJ52" s="790"/>
      <c r="AK52" s="458"/>
      <c r="AL52" s="458"/>
      <c r="AM52" s="458"/>
      <c r="AN52" s="790"/>
      <c r="AO52" s="458"/>
      <c r="AP52" s="458"/>
    </row>
    <row r="53" spans="1:42">
      <c r="A53" s="458" t="s">
        <v>246</v>
      </c>
      <c r="B53" s="458"/>
      <c r="C53" s="458"/>
      <c r="D53" s="458"/>
      <c r="E53" s="458"/>
      <c r="F53" s="458"/>
      <c r="G53" s="458"/>
      <c r="H53" s="458"/>
      <c r="I53" s="458">
        <v>16</v>
      </c>
      <c r="J53" s="458"/>
      <c r="K53" s="458"/>
      <c r="L53" s="458"/>
      <c r="M53" s="458"/>
      <c r="N53" s="458"/>
      <c r="O53" s="458"/>
      <c r="P53" s="458"/>
      <c r="Q53" s="458"/>
      <c r="R53" s="458"/>
      <c r="S53" s="458"/>
      <c r="T53" s="458"/>
      <c r="U53" s="458"/>
      <c r="V53" s="458"/>
      <c r="AB53" s="458"/>
      <c r="AC53" s="458"/>
      <c r="AD53" s="458">
        <v>25</v>
      </c>
      <c r="AE53" s="458">
        <v>8</v>
      </c>
      <c r="AF53" s="615">
        <v>7</v>
      </c>
      <c r="AG53" s="461">
        <v>2</v>
      </c>
      <c r="AH53" s="461">
        <v>-4</v>
      </c>
      <c r="AI53" s="461">
        <v>-1</v>
      </c>
      <c r="AJ53" s="790"/>
      <c r="AL53" s="458"/>
      <c r="AM53" s="458"/>
      <c r="AN53" s="790"/>
      <c r="AP53" s="458"/>
    </row>
    <row r="54" spans="1:42">
      <c r="A54" s="458" t="s">
        <v>60</v>
      </c>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v>-7</v>
      </c>
      <c r="AF54" s="615">
        <v>1</v>
      </c>
      <c r="AG54" s="461">
        <v>-7</v>
      </c>
      <c r="AH54" s="461">
        <v>-13</v>
      </c>
      <c r="AI54" s="461">
        <v>-5</v>
      </c>
      <c r="AJ54" s="790"/>
      <c r="AK54" s="458"/>
      <c r="AL54" s="458"/>
      <c r="AM54" s="458"/>
      <c r="AN54" s="790"/>
      <c r="AO54" s="458"/>
      <c r="AP54" s="458"/>
    </row>
    <row r="55" spans="1:42">
      <c r="A55" s="458" t="s">
        <v>488</v>
      </c>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v>22</v>
      </c>
      <c r="AF55" s="615">
        <v>11</v>
      </c>
      <c r="AG55" s="461">
        <v>11</v>
      </c>
      <c r="AH55" s="461">
        <v>5</v>
      </c>
      <c r="AI55" s="461">
        <v>3</v>
      </c>
      <c r="AJ55" s="790"/>
      <c r="AK55" s="458"/>
      <c r="AL55" s="458"/>
      <c r="AM55" s="458"/>
      <c r="AN55" s="790"/>
      <c r="AO55" s="458"/>
      <c r="AP55" s="458"/>
    </row>
    <row r="56" spans="1:42">
      <c r="A56" s="458" t="s">
        <v>247</v>
      </c>
      <c r="B56" s="458"/>
      <c r="C56" s="458"/>
      <c r="D56" s="458"/>
      <c r="E56" s="458"/>
      <c r="F56" s="458"/>
      <c r="G56" s="458"/>
      <c r="H56" s="458"/>
      <c r="I56" s="458">
        <v>1</v>
      </c>
      <c r="J56" s="458"/>
      <c r="K56" s="458"/>
      <c r="L56" s="458"/>
      <c r="M56" s="458"/>
      <c r="N56" s="458"/>
      <c r="O56" s="458"/>
      <c r="P56" s="458"/>
      <c r="Q56" s="458"/>
      <c r="R56" s="458"/>
      <c r="S56" s="458"/>
      <c r="T56" s="458"/>
      <c r="U56" s="458"/>
      <c r="V56" s="458"/>
      <c r="W56" s="458"/>
      <c r="X56" s="458"/>
      <c r="Y56" s="460"/>
      <c r="Z56" s="458"/>
      <c r="AA56" s="458"/>
      <c r="AB56" s="458"/>
      <c r="AC56" s="458"/>
      <c r="AD56" s="458">
        <v>-2</v>
      </c>
      <c r="AE56" s="458">
        <v>-2</v>
      </c>
      <c r="AF56" s="615">
        <v>-4</v>
      </c>
      <c r="AG56" s="461">
        <v>-7</v>
      </c>
      <c r="AH56" s="461">
        <v>-2</v>
      </c>
      <c r="AI56" s="461">
        <v>-1</v>
      </c>
      <c r="AJ56" s="790"/>
      <c r="AK56" s="460"/>
      <c r="AL56" s="458"/>
      <c r="AM56" s="458"/>
      <c r="AN56" s="790"/>
      <c r="AO56" s="460"/>
      <c r="AP56" s="458"/>
    </row>
    <row r="57" spans="1:42">
      <c r="A57" s="458"/>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61"/>
      <c r="AH57" s="461"/>
      <c r="AI57" s="461"/>
      <c r="AJ57" s="461"/>
      <c r="AK57" s="458"/>
      <c r="AL57" s="458"/>
      <c r="AM57" s="458"/>
      <c r="AN57" s="461"/>
      <c r="AO57" s="458"/>
      <c r="AP57" s="458"/>
    </row>
    <row r="58" spans="1:4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row>
    <row r="59" spans="1:42" ht="11.5">
      <c r="A59" s="65" t="s">
        <v>34</v>
      </c>
    </row>
    <row r="60" spans="1:42" ht="10.5">
      <c r="A60" s="753" t="s">
        <v>35</v>
      </c>
      <c r="B60" s="596">
        <v>2015</v>
      </c>
      <c r="C60" s="596">
        <v>2016</v>
      </c>
      <c r="D60" s="596">
        <v>2017</v>
      </c>
      <c r="E60" s="596">
        <v>2018</v>
      </c>
      <c r="F60" s="596">
        <v>2019</v>
      </c>
      <c r="G60" s="596">
        <v>2020</v>
      </c>
      <c r="H60" s="596">
        <v>2021</v>
      </c>
      <c r="I60" s="596">
        <v>2022</v>
      </c>
      <c r="J60" s="596">
        <v>2023</v>
      </c>
      <c r="K60" s="596">
        <v>2024</v>
      </c>
      <c r="L60" s="754"/>
      <c r="M60" s="596" t="s">
        <v>764</v>
      </c>
      <c r="N60" s="596" t="s">
        <v>765</v>
      </c>
      <c r="O60" s="596" t="s">
        <v>766</v>
      </c>
      <c r="P60" s="599" t="s">
        <v>767</v>
      </c>
      <c r="Q60" s="596" t="s">
        <v>768</v>
      </c>
      <c r="R60" s="596" t="s">
        <v>730</v>
      </c>
      <c r="S60" s="596" t="s">
        <v>731</v>
      </c>
      <c r="T60" s="599" t="s">
        <v>732</v>
      </c>
      <c r="U60" s="596" t="s">
        <v>733</v>
      </c>
      <c r="V60" s="596" t="s">
        <v>626</v>
      </c>
      <c r="W60" s="596" t="s">
        <v>620</v>
      </c>
      <c r="X60" s="599" t="s">
        <v>619</v>
      </c>
      <c r="Y60" s="596" t="s">
        <v>614</v>
      </c>
      <c r="Z60" s="596" t="s">
        <v>604</v>
      </c>
      <c r="AA60" s="596" t="s">
        <v>589</v>
      </c>
      <c r="AB60" s="599" t="s">
        <v>587</v>
      </c>
      <c r="AC60" s="596" t="s">
        <v>504</v>
      </c>
      <c r="AD60" s="596" t="s">
        <v>551</v>
      </c>
      <c r="AE60" s="596" t="s">
        <v>532</v>
      </c>
      <c r="AF60" s="599" t="s">
        <v>530</v>
      </c>
      <c r="AG60" s="596" t="s">
        <v>803</v>
      </c>
      <c r="AH60" s="596" t="s">
        <v>812</v>
      </c>
      <c r="AI60" s="596" t="s">
        <v>816</v>
      </c>
      <c r="AJ60" s="599" t="s">
        <v>835</v>
      </c>
      <c r="AK60" s="596" t="s">
        <v>872</v>
      </c>
      <c r="AL60" s="596" t="s">
        <v>986</v>
      </c>
      <c r="AM60" s="596" t="s">
        <v>1016</v>
      </c>
      <c r="AN60" s="599" t="s">
        <v>1039</v>
      </c>
      <c r="AO60" s="596" t="s">
        <v>1076</v>
      </c>
      <c r="AP60" s="596" t="s">
        <v>1285</v>
      </c>
    </row>
    <row r="61" spans="1:42">
      <c r="A61" s="23" t="s">
        <v>106</v>
      </c>
      <c r="B61" s="47">
        <v>27609</v>
      </c>
      <c r="C61" s="47">
        <v>28663</v>
      </c>
      <c r="D61" s="47">
        <v>27102</v>
      </c>
      <c r="E61" s="47">
        <v>31363.994574501499</v>
      </c>
      <c r="F61" s="47">
        <v>38285</v>
      </c>
      <c r="G61" s="47">
        <v>40849</v>
      </c>
      <c r="H61" s="47">
        <v>36122</v>
      </c>
      <c r="I61" s="47">
        <v>39645</v>
      </c>
      <c r="J61" s="47">
        <v>49694</v>
      </c>
      <c r="K61" s="47">
        <v>60343</v>
      </c>
      <c r="M61" s="47">
        <v>7411</v>
      </c>
      <c r="N61" s="47">
        <v>7879</v>
      </c>
      <c r="O61" s="47">
        <v>7610</v>
      </c>
      <c r="P61" s="82">
        <v>8464</v>
      </c>
      <c r="Q61" s="47">
        <v>8233</v>
      </c>
      <c r="R61" s="47">
        <v>9843</v>
      </c>
      <c r="S61" s="47">
        <v>9651</v>
      </c>
      <c r="T61" s="82">
        <v>10558</v>
      </c>
      <c r="U61" s="47">
        <v>9785</v>
      </c>
      <c r="V61" s="47">
        <v>10626</v>
      </c>
      <c r="W61" s="47">
        <v>10158</v>
      </c>
      <c r="X61" s="82">
        <v>10280</v>
      </c>
      <c r="Y61" s="47">
        <v>9134</v>
      </c>
      <c r="Z61" s="47">
        <v>8458</v>
      </c>
      <c r="AA61" s="47">
        <v>8724</v>
      </c>
      <c r="AB61" s="82">
        <v>9805.7240076528997</v>
      </c>
      <c r="AC61" s="47">
        <v>8773</v>
      </c>
      <c r="AD61" s="47">
        <v>9733.3236759028005</v>
      </c>
      <c r="AE61" s="47">
        <v>9965.6555233908002</v>
      </c>
      <c r="AF61" s="82">
        <v>11172.561748705801</v>
      </c>
      <c r="AG61" s="47">
        <v>11088.396492030701</v>
      </c>
      <c r="AH61" s="47">
        <v>11867.7694568323</v>
      </c>
      <c r="AI61" s="47">
        <v>12802.0434848401</v>
      </c>
      <c r="AJ61" s="82">
        <v>13936.3026103212</v>
      </c>
      <c r="AK61" s="47">
        <v>13867.5831329346</v>
      </c>
      <c r="AL61" s="47">
        <v>15909.9330569741</v>
      </c>
      <c r="AM61" s="47">
        <v>14997.068450600798</v>
      </c>
      <c r="AN61" s="82">
        <v>15568.6525443059</v>
      </c>
      <c r="AO61" s="47">
        <v>14142.8285693899</v>
      </c>
      <c r="AP61" s="47">
        <v>16510.755905984301</v>
      </c>
    </row>
    <row r="62" spans="1:42">
      <c r="A62" s="19" t="s">
        <v>68</v>
      </c>
      <c r="B62" s="20">
        <v>-3.2</v>
      </c>
      <c r="C62" s="20">
        <v>-3.4</v>
      </c>
      <c r="D62" s="20">
        <v>14.22</v>
      </c>
      <c r="E62" s="20">
        <v>18</v>
      </c>
      <c r="F62" s="20">
        <v>1</v>
      </c>
      <c r="G62" s="20">
        <v>-5</v>
      </c>
      <c r="H62" s="20">
        <v>12</v>
      </c>
      <c r="I62" s="20">
        <v>11</v>
      </c>
      <c r="J62" s="20">
        <v>9</v>
      </c>
      <c r="K62" s="20">
        <v>2</v>
      </c>
      <c r="M62" s="20">
        <v>13.7346913034308</v>
      </c>
      <c r="N62" s="20">
        <v>21.759477415893503</v>
      </c>
      <c r="O62" s="20">
        <v>19</v>
      </c>
      <c r="P62" s="83">
        <v>19</v>
      </c>
      <c r="Q62" s="20">
        <v>14</v>
      </c>
      <c r="R62" s="20">
        <v>3</v>
      </c>
      <c r="S62" s="20">
        <v>-3</v>
      </c>
      <c r="T62" s="83">
        <v>-7</v>
      </c>
      <c r="U62" s="20">
        <v>-8</v>
      </c>
      <c r="V62" s="20">
        <v>-15</v>
      </c>
      <c r="W62" s="20">
        <v>-3</v>
      </c>
      <c r="X62" s="83">
        <v>6</v>
      </c>
      <c r="Y62" s="20">
        <v>6</v>
      </c>
      <c r="Z62" s="20">
        <v>22</v>
      </c>
      <c r="AA62" s="20">
        <v>11</v>
      </c>
      <c r="AB62" s="83">
        <v>9</v>
      </c>
      <c r="AC62" s="20">
        <v>14</v>
      </c>
      <c r="AD62" s="20">
        <v>9</v>
      </c>
      <c r="AE62" s="20">
        <v>12</v>
      </c>
      <c r="AF62" s="83">
        <v>8</v>
      </c>
      <c r="AG62" s="20">
        <v>8</v>
      </c>
      <c r="AH62" s="20">
        <v>17</v>
      </c>
      <c r="AI62" s="20">
        <v>7</v>
      </c>
      <c r="AJ62" s="83">
        <v>8</v>
      </c>
      <c r="AK62" s="20">
        <v>3</v>
      </c>
      <c r="AL62" s="20">
        <v>-1</v>
      </c>
      <c r="AM62" s="20">
        <v>3</v>
      </c>
      <c r="AN62" s="83">
        <v>4</v>
      </c>
      <c r="AO62" s="20">
        <v>3</v>
      </c>
      <c r="AP62" s="20">
        <v>1</v>
      </c>
    </row>
    <row r="63" spans="1:42">
      <c r="A63" s="19" t="s">
        <v>32</v>
      </c>
      <c r="B63" s="20">
        <v>7</v>
      </c>
      <c r="C63" s="20">
        <v>-2</v>
      </c>
      <c r="D63" s="20">
        <v>1</v>
      </c>
      <c r="E63" s="20">
        <v>0.91385979656160232</v>
      </c>
      <c r="F63" s="20">
        <v>4</v>
      </c>
      <c r="G63" s="20">
        <v>-6.1381877863039529</v>
      </c>
      <c r="H63" s="20">
        <v>-3.8827544406426733</v>
      </c>
      <c r="I63" s="20">
        <v>11</v>
      </c>
      <c r="J63" s="20">
        <v>2.9831288888756808</v>
      </c>
      <c r="K63" s="20">
        <v>-1.7283348113960026</v>
      </c>
      <c r="M63" s="20">
        <v>-4.7246503043515391</v>
      </c>
      <c r="N63" s="20">
        <v>0.67866958442179881</v>
      </c>
      <c r="O63" s="20">
        <v>4.6003748476852468</v>
      </c>
      <c r="P63" s="83">
        <v>2.7728522572686036</v>
      </c>
      <c r="Q63" s="20">
        <v>4.4818192429260577</v>
      </c>
      <c r="R63" s="20">
        <v>2.5892597747202784</v>
      </c>
      <c r="S63" s="20">
        <v>4.9574943446918134</v>
      </c>
      <c r="T63" s="83">
        <v>3</v>
      </c>
      <c r="U63" s="20">
        <v>1</v>
      </c>
      <c r="V63" s="20">
        <v>-4.0429681846364067</v>
      </c>
      <c r="W63" s="20">
        <v>-10.307503540577597</v>
      </c>
      <c r="X63" s="83">
        <v>-10.661534362174388</v>
      </c>
      <c r="Y63" s="20">
        <v>-10.127080034945168</v>
      </c>
      <c r="Z63" s="20">
        <v>-7.9875581850540378</v>
      </c>
      <c r="AA63" s="20">
        <v>-0.16873193581885215</v>
      </c>
      <c r="AB63" s="83">
        <v>2.1760451716142963</v>
      </c>
      <c r="AC63" s="20">
        <v>7.7574158891933962</v>
      </c>
      <c r="AD63" s="20">
        <v>10.279760122695727</v>
      </c>
      <c r="AE63" s="20">
        <v>13.770578174109</v>
      </c>
      <c r="AF63" s="83">
        <v>12.729777814218746</v>
      </c>
      <c r="AG63" s="20">
        <v>6.8200912181374944</v>
      </c>
      <c r="AH63" s="20">
        <v>5.1523899620957883</v>
      </c>
      <c r="AI63" s="20">
        <v>1.4584944497227423</v>
      </c>
      <c r="AJ63" s="83">
        <v>-0.51660429187812418</v>
      </c>
      <c r="AK63" s="20">
        <v>-2.8324405029878705</v>
      </c>
      <c r="AL63" s="20">
        <v>-1.0145149801044184</v>
      </c>
      <c r="AM63" s="20">
        <v>-3.8837944046127886</v>
      </c>
      <c r="AN63" s="83">
        <v>0.60199060909584701</v>
      </c>
      <c r="AO63" s="20">
        <v>-0.12712580271469323</v>
      </c>
      <c r="AP63" s="20">
        <v>-8.7982982479602949</v>
      </c>
    </row>
    <row r="64" spans="1:42">
      <c r="A64" s="19" t="s">
        <v>114</v>
      </c>
      <c r="B64" s="20">
        <v>0</v>
      </c>
      <c r="C64" s="20">
        <v>0</v>
      </c>
      <c r="D64" s="20">
        <v>0.5</v>
      </c>
      <c r="E64" s="20">
        <v>2.5850474741007949</v>
      </c>
      <c r="F64" s="20">
        <v>2</v>
      </c>
      <c r="G64" s="20">
        <v>-0.63557200854913731</v>
      </c>
      <c r="H64" s="20">
        <v>1.751007567806051</v>
      </c>
      <c r="I64" s="20">
        <v>3</v>
      </c>
      <c r="J64" s="20">
        <v>8.8952105465862541</v>
      </c>
      <c r="K64" s="20">
        <v>5.0325174558529779</v>
      </c>
      <c r="M64" s="20">
        <v>2</v>
      </c>
      <c r="N64" s="20">
        <v>2</v>
      </c>
      <c r="O64" s="20">
        <v>2.5727099261473176</v>
      </c>
      <c r="P64" s="83">
        <v>2.9408291759450096</v>
      </c>
      <c r="Q64" s="20">
        <v>0.67531681233072915</v>
      </c>
      <c r="R64" s="20">
        <v>1.516792253275228</v>
      </c>
      <c r="S64" s="20">
        <v>2.9530508267620377</v>
      </c>
      <c r="T64" s="83">
        <v>1</v>
      </c>
      <c r="U64" s="20">
        <v>0</v>
      </c>
      <c r="V64" s="20">
        <v>-1.4542560819783696</v>
      </c>
      <c r="W64" s="20">
        <v>-0.76946918845358081</v>
      </c>
      <c r="X64" s="83">
        <v>-9.1598586467587895E-2</v>
      </c>
      <c r="Y64" s="20">
        <v>0.14166062181057551</v>
      </c>
      <c r="Z64" s="20">
        <v>0.5459390481939046</v>
      </c>
      <c r="AA64" s="20">
        <v>2.9463040137193239</v>
      </c>
      <c r="AB64" s="83">
        <v>3.2259840956039421</v>
      </c>
      <c r="AC64" s="20">
        <v>3.7287415534473909</v>
      </c>
      <c r="AD64" s="20">
        <v>3.4063224649096728</v>
      </c>
      <c r="AE64" s="20">
        <v>1.7105711038962244</v>
      </c>
      <c r="AF64" s="83">
        <v>4.1197835738345168</v>
      </c>
      <c r="AG64" s="20">
        <v>9.5959939656471835</v>
      </c>
      <c r="AH64" s="20">
        <v>12.132085475667877</v>
      </c>
      <c r="AI64" s="20">
        <v>9.2448189417603928</v>
      </c>
      <c r="AJ64" s="83">
        <v>5.2595993112164932</v>
      </c>
      <c r="AK64" s="20">
        <v>1.6603404686796035</v>
      </c>
      <c r="AL64" s="20">
        <v>6.194398075267177</v>
      </c>
      <c r="AM64" s="20">
        <v>6.0078423785823611</v>
      </c>
      <c r="AN64" s="83">
        <v>5.9093747925377507</v>
      </c>
      <c r="AO64" s="20">
        <v>6.9054379259129348</v>
      </c>
      <c r="AP64" s="20">
        <v>0.4397578796091558</v>
      </c>
    </row>
    <row r="65" spans="1:42">
      <c r="A65" s="21" t="s">
        <v>33</v>
      </c>
      <c r="B65" s="44">
        <v>4</v>
      </c>
      <c r="C65" s="44">
        <v>-5</v>
      </c>
      <c r="D65" s="44">
        <v>16</v>
      </c>
      <c r="E65" s="44">
        <v>22</v>
      </c>
      <c r="F65" s="44">
        <v>7</v>
      </c>
      <c r="G65" s="44">
        <v>-12</v>
      </c>
      <c r="H65" s="44">
        <v>10</v>
      </c>
      <c r="I65" s="44">
        <v>25</v>
      </c>
      <c r="J65" s="44">
        <v>21</v>
      </c>
      <c r="K65" s="44">
        <v>5</v>
      </c>
      <c r="M65" s="44">
        <v>11</v>
      </c>
      <c r="N65" s="44">
        <v>25</v>
      </c>
      <c r="O65" s="44">
        <v>27</v>
      </c>
      <c r="P65" s="84">
        <v>25</v>
      </c>
      <c r="Q65" s="44">
        <v>19</v>
      </c>
      <c r="R65" s="44">
        <v>8</v>
      </c>
      <c r="S65" s="44">
        <v>5</v>
      </c>
      <c r="T65" s="84">
        <v>-3</v>
      </c>
      <c r="U65" s="44">
        <v>-7</v>
      </c>
      <c r="V65" s="44">
        <v>-20</v>
      </c>
      <c r="W65" s="44">
        <v>-14</v>
      </c>
      <c r="X65" s="84">
        <v>-5</v>
      </c>
      <c r="Y65" s="44">
        <v>-4</v>
      </c>
      <c r="Z65" s="44">
        <v>15</v>
      </c>
      <c r="AA65" s="44">
        <v>14</v>
      </c>
      <c r="AB65" s="84">
        <v>14</v>
      </c>
      <c r="AC65" s="44">
        <v>26</v>
      </c>
      <c r="AD65" s="44">
        <v>22</v>
      </c>
      <c r="AE65" s="44">
        <v>28</v>
      </c>
      <c r="AF65" s="84">
        <v>25</v>
      </c>
      <c r="AG65" s="44">
        <v>25</v>
      </c>
      <c r="AH65" s="44">
        <v>34</v>
      </c>
      <c r="AI65" s="44">
        <v>17</v>
      </c>
      <c r="AJ65" s="84">
        <v>12</v>
      </c>
      <c r="AK65" s="44">
        <v>2</v>
      </c>
      <c r="AL65" s="44">
        <v>4</v>
      </c>
      <c r="AM65" s="44">
        <v>5</v>
      </c>
      <c r="AN65" s="84">
        <v>11</v>
      </c>
      <c r="AO65" s="44">
        <v>10</v>
      </c>
      <c r="AP65" s="44">
        <v>-8</v>
      </c>
    </row>
    <row r="66" spans="1:42">
      <c r="A66" s="19" t="s">
        <v>107</v>
      </c>
      <c r="B66" s="15">
        <v>28663</v>
      </c>
      <c r="C66" s="15">
        <v>27102</v>
      </c>
      <c r="D66" s="15">
        <v>31363.994574501499</v>
      </c>
      <c r="E66" s="15">
        <v>38285.266855336195</v>
      </c>
      <c r="F66" s="15">
        <v>40849</v>
      </c>
      <c r="G66" s="15">
        <v>36122</v>
      </c>
      <c r="H66" s="15">
        <v>39645</v>
      </c>
      <c r="I66" s="15">
        <v>49694</v>
      </c>
      <c r="J66" s="15">
        <v>60343</v>
      </c>
      <c r="K66" s="15">
        <v>63604</v>
      </c>
      <c r="M66" s="15">
        <v>8233</v>
      </c>
      <c r="N66" s="15">
        <v>9843</v>
      </c>
      <c r="O66" s="15">
        <v>9651</v>
      </c>
      <c r="P66" s="85">
        <v>10558</v>
      </c>
      <c r="Q66" s="15">
        <v>9785</v>
      </c>
      <c r="R66" s="15">
        <v>10626</v>
      </c>
      <c r="S66" s="15">
        <v>10158</v>
      </c>
      <c r="T66" s="85">
        <v>10280</v>
      </c>
      <c r="U66" s="15">
        <v>9134</v>
      </c>
      <c r="V66" s="15">
        <v>8458</v>
      </c>
      <c r="W66" s="15">
        <v>8724</v>
      </c>
      <c r="X66" s="85">
        <v>9806</v>
      </c>
      <c r="Y66" s="15">
        <v>8773</v>
      </c>
      <c r="Z66" s="15">
        <v>9733</v>
      </c>
      <c r="AA66" s="15">
        <v>9966</v>
      </c>
      <c r="AB66" s="85">
        <v>11172.561748706199</v>
      </c>
      <c r="AC66" s="15">
        <v>11088</v>
      </c>
      <c r="AD66" s="15">
        <v>11867.769456832501</v>
      </c>
      <c r="AE66" s="15">
        <v>12802.343484839999</v>
      </c>
      <c r="AF66" s="85">
        <v>13936.3026103215</v>
      </c>
      <c r="AG66" s="15">
        <v>13867.5831329346</v>
      </c>
      <c r="AH66" s="15">
        <v>15909.933056974</v>
      </c>
      <c r="AI66" s="15">
        <v>14997.068450601</v>
      </c>
      <c r="AJ66" s="85">
        <v>15568.452544305701</v>
      </c>
      <c r="AK66" s="15">
        <v>14142.8285693898</v>
      </c>
      <c r="AL66" s="15">
        <v>16510.755905984199</v>
      </c>
      <c r="AM66" s="15">
        <v>15699.4400964908</v>
      </c>
      <c r="AN66" s="85">
        <v>17249.7849331328</v>
      </c>
      <c r="AO66" s="15">
        <v>15535.7063562821</v>
      </c>
      <c r="AP66" s="15">
        <v>15129.878603667101</v>
      </c>
    </row>
    <row r="67" spans="1:42">
      <c r="A67" s="19"/>
      <c r="B67" s="20"/>
      <c r="C67" s="20"/>
      <c r="E67" s="20"/>
      <c r="F67" s="20"/>
      <c r="G67" s="20"/>
      <c r="H67" s="20"/>
      <c r="I67" s="20"/>
      <c r="J67" s="20"/>
      <c r="K67" s="20"/>
      <c r="M67" s="20"/>
      <c r="P67" s="80"/>
      <c r="Q67" s="20"/>
      <c r="T67" s="80"/>
      <c r="U67" s="20"/>
      <c r="V67" s="20"/>
      <c r="W67" s="20"/>
      <c r="X67" s="83"/>
      <c r="Y67" s="20"/>
      <c r="Z67" s="20"/>
      <c r="AA67" s="20"/>
      <c r="AB67" s="83"/>
      <c r="AC67" s="20"/>
      <c r="AD67" s="20"/>
      <c r="AE67" s="20"/>
      <c r="AF67" s="83"/>
      <c r="AG67" s="20"/>
      <c r="AH67" s="20"/>
      <c r="AI67" s="20"/>
      <c r="AJ67" s="83"/>
      <c r="AK67" s="20"/>
      <c r="AL67" s="20"/>
      <c r="AM67" s="20"/>
      <c r="AN67" s="83"/>
      <c r="AO67" s="20"/>
      <c r="AP67" s="20"/>
    </row>
    <row r="68" spans="1:42" ht="10.5">
      <c r="A68" s="753" t="s">
        <v>70</v>
      </c>
      <c r="B68" s="596">
        <v>2015</v>
      </c>
      <c r="C68" s="596">
        <v>2016</v>
      </c>
      <c r="D68" s="596">
        <v>2017</v>
      </c>
      <c r="E68" s="596">
        <v>2018</v>
      </c>
      <c r="F68" s="596">
        <v>2019</v>
      </c>
      <c r="G68" s="596">
        <v>2020</v>
      </c>
      <c r="H68" s="596">
        <v>2021</v>
      </c>
      <c r="I68" s="596">
        <v>2022</v>
      </c>
      <c r="J68" s="596">
        <v>2023</v>
      </c>
      <c r="K68" s="596">
        <v>2024</v>
      </c>
      <c r="L68" s="459"/>
      <c r="M68" s="596" t="s">
        <v>764</v>
      </c>
      <c r="N68" s="596" t="s">
        <v>765</v>
      </c>
      <c r="O68" s="596" t="s">
        <v>766</v>
      </c>
      <c r="P68" s="599" t="s">
        <v>767</v>
      </c>
      <c r="Q68" s="596" t="s">
        <v>768</v>
      </c>
      <c r="R68" s="596" t="s">
        <v>730</v>
      </c>
      <c r="S68" s="596" t="s">
        <v>731</v>
      </c>
      <c r="T68" s="599" t="s">
        <v>732</v>
      </c>
      <c r="U68" s="596" t="s">
        <v>733</v>
      </c>
      <c r="V68" s="596" t="s">
        <v>626</v>
      </c>
      <c r="W68" s="596" t="s">
        <v>620</v>
      </c>
      <c r="X68" s="599" t="s">
        <v>619</v>
      </c>
      <c r="Y68" s="596" t="s">
        <v>614</v>
      </c>
      <c r="Z68" s="596" t="s">
        <v>604</v>
      </c>
      <c r="AA68" s="596" t="s">
        <v>589</v>
      </c>
      <c r="AB68" s="599" t="s">
        <v>587</v>
      </c>
      <c r="AC68" s="596" t="s">
        <v>504</v>
      </c>
      <c r="AD68" s="596" t="s">
        <v>551</v>
      </c>
      <c r="AE68" s="596" t="s">
        <v>532</v>
      </c>
      <c r="AF68" s="599" t="s">
        <v>530</v>
      </c>
      <c r="AG68" s="596" t="s">
        <v>803</v>
      </c>
      <c r="AH68" s="596" t="s">
        <v>812</v>
      </c>
      <c r="AI68" s="596" t="s">
        <v>816</v>
      </c>
      <c r="AJ68" s="599" t="s">
        <v>835</v>
      </c>
      <c r="AK68" s="596" t="s">
        <v>872</v>
      </c>
      <c r="AL68" s="596" t="s">
        <v>986</v>
      </c>
      <c r="AM68" s="596" t="s">
        <v>1016</v>
      </c>
      <c r="AN68" s="599" t="s">
        <v>1039</v>
      </c>
      <c r="AO68" s="596" t="s">
        <v>1076</v>
      </c>
      <c r="AP68" s="596" t="s">
        <v>1285</v>
      </c>
    </row>
    <row r="69" spans="1:42">
      <c r="A69" s="23" t="s">
        <v>106</v>
      </c>
      <c r="B69" s="15">
        <v>19461</v>
      </c>
      <c r="C69" s="15">
        <v>20317</v>
      </c>
      <c r="D69" s="15">
        <v>18898</v>
      </c>
      <c r="E69" s="15">
        <v>22383.0855085734</v>
      </c>
      <c r="F69" s="15">
        <v>28540</v>
      </c>
      <c r="G69" s="15">
        <v>29891</v>
      </c>
      <c r="H69" s="15">
        <v>26927</v>
      </c>
      <c r="I69" s="15">
        <v>29320</v>
      </c>
      <c r="J69" s="15">
        <v>38904</v>
      </c>
      <c r="K69" s="15">
        <v>47530</v>
      </c>
      <c r="M69" s="15">
        <v>5220</v>
      </c>
      <c r="N69" s="15">
        <v>5495</v>
      </c>
      <c r="O69" s="15">
        <v>5406</v>
      </c>
      <c r="P69" s="85">
        <v>6262</v>
      </c>
      <c r="Q69" s="15">
        <v>5943</v>
      </c>
      <c r="R69" s="15">
        <v>7325</v>
      </c>
      <c r="S69" s="15">
        <v>7178</v>
      </c>
      <c r="T69" s="85">
        <v>8094</v>
      </c>
      <c r="U69" s="15">
        <v>7115</v>
      </c>
      <c r="V69" s="15">
        <v>7702</v>
      </c>
      <c r="W69" s="15">
        <v>7334</v>
      </c>
      <c r="X69" s="85">
        <v>7740</v>
      </c>
      <c r="Y69" s="15">
        <v>6579</v>
      </c>
      <c r="Z69" s="15">
        <v>6422</v>
      </c>
      <c r="AA69" s="15">
        <v>6471</v>
      </c>
      <c r="AB69" s="85">
        <v>7454.7975964984998</v>
      </c>
      <c r="AC69" s="15">
        <v>6391</v>
      </c>
      <c r="AD69" s="15">
        <v>7187.1050946749001</v>
      </c>
      <c r="AE69" s="15">
        <v>7241.6238343598998</v>
      </c>
      <c r="AF69" s="85">
        <v>8499.9494975015004</v>
      </c>
      <c r="AG69" s="15">
        <v>8485.0400528851005</v>
      </c>
      <c r="AH69" s="15">
        <v>9059.9807295390001</v>
      </c>
      <c r="AI69" s="15">
        <v>10070.484137253501</v>
      </c>
      <c r="AJ69" s="85">
        <v>11288.754794475301</v>
      </c>
      <c r="AK69" s="15">
        <v>10732.9447077799</v>
      </c>
      <c r="AL69" s="15">
        <v>12509.7765310253</v>
      </c>
      <c r="AM69" s="15">
        <v>11729.024263104999</v>
      </c>
      <c r="AN69" s="85">
        <v>12557.686848122099</v>
      </c>
      <c r="AO69" s="15">
        <v>11212.365580766</v>
      </c>
      <c r="AP69" s="15">
        <v>12515.526100765101</v>
      </c>
    </row>
    <row r="70" spans="1:42">
      <c r="A70" s="19" t="s">
        <v>68</v>
      </c>
      <c r="B70" s="20">
        <v>-2.2000000000000002</v>
      </c>
      <c r="C70" s="20">
        <v>-4.5</v>
      </c>
      <c r="D70" s="20">
        <v>16.149999999999999</v>
      </c>
      <c r="E70" s="20">
        <v>24</v>
      </c>
      <c r="F70" s="20">
        <v>2</v>
      </c>
      <c r="G70" s="20">
        <v>-4</v>
      </c>
      <c r="H70" s="20">
        <v>11</v>
      </c>
      <c r="I70" s="20">
        <v>13</v>
      </c>
      <c r="J70" s="20">
        <v>12</v>
      </c>
      <c r="K70" s="20">
        <v>5</v>
      </c>
      <c r="M70" s="20">
        <v>16</v>
      </c>
      <c r="N70" s="20">
        <v>29.65161598880503</v>
      </c>
      <c r="O70" s="20">
        <v>25</v>
      </c>
      <c r="P70" s="83">
        <v>22</v>
      </c>
      <c r="Q70" s="20">
        <v>17</v>
      </c>
      <c r="R70" s="20">
        <v>3</v>
      </c>
      <c r="S70" s="20">
        <v>-2</v>
      </c>
      <c r="T70" s="83">
        <v>-6</v>
      </c>
      <c r="U70" s="20">
        <v>-8</v>
      </c>
      <c r="V70" s="20">
        <v>-13</v>
      </c>
      <c r="W70" s="20">
        <v>-2</v>
      </c>
      <c r="X70" s="83">
        <v>7</v>
      </c>
      <c r="Y70" s="20">
        <v>7</v>
      </c>
      <c r="Z70" s="20">
        <v>19</v>
      </c>
      <c r="AA70" s="20">
        <v>9</v>
      </c>
      <c r="AB70" s="83">
        <v>9</v>
      </c>
      <c r="AC70" s="20">
        <v>17</v>
      </c>
      <c r="AD70" s="20">
        <v>8</v>
      </c>
      <c r="AE70" s="20">
        <v>18</v>
      </c>
      <c r="AF70" s="83">
        <v>12</v>
      </c>
      <c r="AG70" s="20">
        <v>10</v>
      </c>
      <c r="AH70" s="20">
        <v>22</v>
      </c>
      <c r="AI70" s="20">
        <v>7</v>
      </c>
      <c r="AJ70" s="83">
        <v>8</v>
      </c>
      <c r="AK70" s="20">
        <v>6</v>
      </c>
      <c r="AL70" s="20">
        <v>1</v>
      </c>
      <c r="AM70" s="20">
        <v>5</v>
      </c>
      <c r="AN70" s="83">
        <v>6</v>
      </c>
      <c r="AO70" s="20">
        <v>4</v>
      </c>
      <c r="AP70" s="20">
        <v>1</v>
      </c>
    </row>
    <row r="71" spans="1:42">
      <c r="A71" s="19" t="s">
        <v>32</v>
      </c>
      <c r="B71" s="20">
        <v>6</v>
      </c>
      <c r="C71" s="20">
        <v>-2</v>
      </c>
      <c r="D71" s="20">
        <v>2</v>
      </c>
      <c r="E71" s="20">
        <v>0.75469250118649756</v>
      </c>
      <c r="F71" s="20">
        <v>4</v>
      </c>
      <c r="G71" s="20">
        <v>-6.2751009879195987</v>
      </c>
      <c r="H71" s="20">
        <v>-3.9252113897303409</v>
      </c>
      <c r="I71" s="20">
        <v>12</v>
      </c>
      <c r="J71" s="20">
        <v>3.2003739500039914</v>
      </c>
      <c r="K71" s="20">
        <v>-1.8766334422764683</v>
      </c>
      <c r="M71" s="20">
        <v>-4.9621141467681982</v>
      </c>
      <c r="N71" s="20">
        <v>0.4187266962524962</v>
      </c>
      <c r="O71" s="20">
        <v>4.5674480876842862</v>
      </c>
      <c r="P71" s="83">
        <v>2.5160988226223919</v>
      </c>
      <c r="Q71" s="20">
        <v>4.487466757530564</v>
      </c>
      <c r="R71" s="20">
        <v>2.620196627962426</v>
      </c>
      <c r="S71" s="20">
        <v>4.8776320513127276</v>
      </c>
      <c r="T71" s="83">
        <v>3</v>
      </c>
      <c r="U71" s="20">
        <v>0</v>
      </c>
      <c r="V71" s="20">
        <v>-4.2546499208722688</v>
      </c>
      <c r="W71" s="20">
        <v>-10.417057261053438</v>
      </c>
      <c r="X71" s="83">
        <v>-10.530384318218564</v>
      </c>
      <c r="Y71" s="20">
        <v>-10.060591357244645</v>
      </c>
      <c r="Z71" s="20">
        <v>-8.2349255394889873</v>
      </c>
      <c r="AA71" s="20">
        <v>-0.30702769329448981</v>
      </c>
      <c r="AB71" s="83">
        <v>2.0686559529565844</v>
      </c>
      <c r="AC71" s="20">
        <v>7.8465699672707947</v>
      </c>
      <c r="AD71" s="20">
        <v>10.238393406313618</v>
      </c>
      <c r="AE71" s="20">
        <v>14.624860986628319</v>
      </c>
      <c r="AF71" s="83">
        <v>13.382063109111817</v>
      </c>
      <c r="AG71" s="20">
        <v>7.162242694516106</v>
      </c>
      <c r="AH71" s="20">
        <v>5.7144295598598971</v>
      </c>
      <c r="AI71" s="20">
        <v>1.5608360562799366</v>
      </c>
      <c r="AJ71" s="83">
        <v>-0.33260831194024965</v>
      </c>
      <c r="AK71" s="20">
        <v>-3.0109409260237379</v>
      </c>
      <c r="AL71" s="20">
        <v>-1.1325917380286126</v>
      </c>
      <c r="AM71" s="20">
        <v>-4.0941138641653358</v>
      </c>
      <c r="AN71" s="83">
        <v>0.42273868024267547</v>
      </c>
      <c r="AO71" s="20">
        <v>-0.16181609843710004</v>
      </c>
      <c r="AP71" s="20">
        <v>-10</v>
      </c>
    </row>
    <row r="72" spans="1:42">
      <c r="A72" s="19" t="s">
        <v>114</v>
      </c>
      <c r="B72" s="20">
        <v>0</v>
      </c>
      <c r="C72" s="20">
        <v>0</v>
      </c>
      <c r="D72" s="20">
        <v>0.3</v>
      </c>
      <c r="E72" s="20">
        <v>3.3199532376417289</v>
      </c>
      <c r="F72" s="20">
        <v>-1</v>
      </c>
      <c r="G72" s="20">
        <v>5.3267376984594828E-3</v>
      </c>
      <c r="H72" s="20">
        <v>1.7527178270817203</v>
      </c>
      <c r="I72" s="20">
        <v>3</v>
      </c>
      <c r="J72" s="20">
        <v>6.8631676461106466</v>
      </c>
      <c r="K72" s="20">
        <v>0.38233958306098781</v>
      </c>
      <c r="M72" s="20">
        <v>3</v>
      </c>
      <c r="N72" s="20">
        <v>3</v>
      </c>
      <c r="O72" s="20">
        <v>3.2243763239486549</v>
      </c>
      <c r="P72" s="83">
        <v>3.7717342857121068</v>
      </c>
      <c r="Q72" s="20">
        <v>-0.9691395495127233</v>
      </c>
      <c r="R72" s="20">
        <v>-0.75631945487105079</v>
      </c>
      <c r="S72" s="20">
        <v>-0.77324686311412461</v>
      </c>
      <c r="T72" s="83">
        <v>-1</v>
      </c>
      <c r="U72" s="20">
        <v>0</v>
      </c>
      <c r="V72" s="20">
        <v>-0.18985787582445951</v>
      </c>
      <c r="W72" s="20">
        <v>1.9950670268902015E-2</v>
      </c>
      <c r="X72" s="83">
        <v>0.23695245264588347</v>
      </c>
      <c r="Y72" s="20">
        <v>0.19667995190570739</v>
      </c>
      <c r="Z72" s="20">
        <v>0.71898282202546071</v>
      </c>
      <c r="AA72" s="20">
        <v>3.1380079179650946</v>
      </c>
      <c r="AB72" s="83">
        <v>2.8138987242347979</v>
      </c>
      <c r="AC72" s="20">
        <v>3.4177633277541917</v>
      </c>
      <c r="AD72" s="20">
        <v>3.1696115696998084</v>
      </c>
      <c r="AE72" s="20">
        <v>1.8451987397341956</v>
      </c>
      <c r="AF72" s="83">
        <v>4.9910912240184766</v>
      </c>
      <c r="AG72" s="20">
        <v>8.9559810392787824</v>
      </c>
      <c r="AH72" s="20">
        <v>9.9181285949481559</v>
      </c>
      <c r="AI72" s="20">
        <v>6.7589220748311876</v>
      </c>
      <c r="AJ72" s="83">
        <v>2.9313177453597143</v>
      </c>
      <c r="AK72" s="20">
        <v>0.94555372817524042</v>
      </c>
      <c r="AL72" s="20">
        <v>0.14820578184685163</v>
      </c>
      <c r="AM72" s="20">
        <v>0.26347541385270434</v>
      </c>
      <c r="AN72" s="83">
        <v>0.24523861001284117</v>
      </c>
      <c r="AO72" s="20">
        <v>0.22357569069994068</v>
      </c>
      <c r="AP72" s="20">
        <v>-3.2152064464585351E-4</v>
      </c>
    </row>
    <row r="73" spans="1:42">
      <c r="A73" s="21" t="s">
        <v>33</v>
      </c>
      <c r="B73" s="44">
        <v>4</v>
      </c>
      <c r="C73" s="44">
        <v>-7</v>
      </c>
      <c r="D73" s="44">
        <v>18</v>
      </c>
      <c r="E73" s="44">
        <v>28</v>
      </c>
      <c r="F73" s="44">
        <v>5</v>
      </c>
      <c r="G73" s="44">
        <v>-10</v>
      </c>
      <c r="H73" s="44">
        <v>9</v>
      </c>
      <c r="I73" s="44">
        <v>28</v>
      </c>
      <c r="J73" s="44">
        <v>22</v>
      </c>
      <c r="K73" s="44">
        <v>3</v>
      </c>
      <c r="M73" s="44">
        <v>14</v>
      </c>
      <c r="N73" s="44">
        <v>33</v>
      </c>
      <c r="O73" s="44">
        <v>33</v>
      </c>
      <c r="P73" s="84">
        <v>29</v>
      </c>
      <c r="Q73" s="44">
        <v>20</v>
      </c>
      <c r="R73" s="44">
        <v>5</v>
      </c>
      <c r="S73" s="44">
        <v>2</v>
      </c>
      <c r="T73" s="84">
        <v>-4</v>
      </c>
      <c r="U73" s="44">
        <v>-8</v>
      </c>
      <c r="V73" s="44">
        <v>-17</v>
      </c>
      <c r="W73" s="44">
        <v>-12</v>
      </c>
      <c r="X73" s="84">
        <v>-4</v>
      </c>
      <c r="Y73" s="44">
        <v>-3</v>
      </c>
      <c r="Z73" s="44">
        <v>12</v>
      </c>
      <c r="AA73" s="44">
        <v>12</v>
      </c>
      <c r="AB73" s="84">
        <v>14</v>
      </c>
      <c r="AC73" s="44">
        <v>28</v>
      </c>
      <c r="AD73" s="44">
        <v>21</v>
      </c>
      <c r="AE73" s="44">
        <v>35</v>
      </c>
      <c r="AF73" s="84">
        <v>30</v>
      </c>
      <c r="AG73" s="44">
        <v>26</v>
      </c>
      <c r="AH73" s="44">
        <v>38</v>
      </c>
      <c r="AI73" s="44">
        <v>16</v>
      </c>
      <c r="AJ73" s="84">
        <v>11</v>
      </c>
      <c r="AK73" s="44">
        <v>4</v>
      </c>
      <c r="AL73" s="44">
        <v>0</v>
      </c>
      <c r="AM73" s="44">
        <v>1</v>
      </c>
      <c r="AN73" s="84">
        <v>6</v>
      </c>
      <c r="AO73" s="44">
        <v>4</v>
      </c>
      <c r="AP73" s="44">
        <v>-9</v>
      </c>
    </row>
    <row r="74" spans="1:42">
      <c r="A74" s="19" t="s">
        <v>107</v>
      </c>
      <c r="B74" s="15">
        <v>20317</v>
      </c>
      <c r="C74" s="15">
        <v>18898</v>
      </c>
      <c r="D74" s="15">
        <v>22383.085508573698</v>
      </c>
      <c r="E74" s="15">
        <v>28540.006055286198</v>
      </c>
      <c r="F74" s="15">
        <v>29891</v>
      </c>
      <c r="G74" s="15">
        <v>26927</v>
      </c>
      <c r="H74" s="15">
        <v>29320</v>
      </c>
      <c r="I74" s="15">
        <v>37661</v>
      </c>
      <c r="J74" s="15">
        <v>47530</v>
      </c>
      <c r="K74" s="15">
        <v>48914</v>
      </c>
      <c r="M74" s="15">
        <v>5943</v>
      </c>
      <c r="N74" s="15">
        <v>7325</v>
      </c>
      <c r="O74" s="15">
        <v>7178</v>
      </c>
      <c r="P74" s="85">
        <v>8094</v>
      </c>
      <c r="Q74" s="15">
        <v>7115</v>
      </c>
      <c r="R74" s="15">
        <v>7702</v>
      </c>
      <c r="S74" s="15">
        <v>7334</v>
      </c>
      <c r="T74" s="85">
        <v>7740</v>
      </c>
      <c r="U74" s="15">
        <v>6579</v>
      </c>
      <c r="V74" s="15">
        <v>6422</v>
      </c>
      <c r="W74" s="15">
        <v>6471</v>
      </c>
      <c r="X74" s="85">
        <v>7456</v>
      </c>
      <c r="Y74" s="15">
        <v>6391</v>
      </c>
      <c r="Z74" s="15">
        <v>7187</v>
      </c>
      <c r="AA74" s="15">
        <v>7242</v>
      </c>
      <c r="AB74" s="85">
        <v>11172.561748706199</v>
      </c>
      <c r="AC74" s="15">
        <v>8196</v>
      </c>
      <c r="AD74" s="15">
        <v>8700</v>
      </c>
      <c r="AE74" s="15">
        <v>9747</v>
      </c>
      <c r="AF74" s="85">
        <v>11018.116516412201</v>
      </c>
      <c r="AG74" s="15">
        <v>10733.144707779898</v>
      </c>
      <c r="AH74" s="15">
        <v>12509.976531025301</v>
      </c>
      <c r="AI74" s="15">
        <v>11729.224263105099</v>
      </c>
      <c r="AJ74" s="85">
        <v>12557.886848122002</v>
      </c>
      <c r="AK74" s="15">
        <v>11212.3655807659</v>
      </c>
      <c r="AL74" s="15">
        <v>12515.526100764999</v>
      </c>
      <c r="AM74" s="15">
        <v>11875.4769268458</v>
      </c>
      <c r="AN74" s="85">
        <v>13310.6616328978</v>
      </c>
      <c r="AO74" s="15">
        <v>11703.6239788041</v>
      </c>
      <c r="AP74" s="15">
        <v>11435.453801408499</v>
      </c>
    </row>
    <row r="75" spans="1:42">
      <c r="A75" s="19"/>
      <c r="B75" s="20"/>
      <c r="C75" s="20"/>
      <c r="E75" s="20"/>
      <c r="F75" s="20"/>
      <c r="G75" s="20"/>
      <c r="H75" s="20"/>
      <c r="I75" s="20"/>
      <c r="J75" s="20"/>
      <c r="K75" s="20"/>
      <c r="M75" s="20"/>
      <c r="P75" s="80"/>
      <c r="Q75" s="20"/>
      <c r="T75" s="80"/>
      <c r="U75" s="20"/>
      <c r="V75" s="20"/>
      <c r="W75" s="20"/>
      <c r="X75" s="83"/>
      <c r="Y75" s="20"/>
      <c r="Z75" s="20"/>
      <c r="AA75" s="20"/>
      <c r="AB75" s="83"/>
      <c r="AC75" s="20"/>
      <c r="AD75" s="20"/>
      <c r="AE75" s="20"/>
      <c r="AF75" s="83"/>
      <c r="AG75" s="20"/>
      <c r="AH75" s="20"/>
      <c r="AI75" s="20"/>
      <c r="AJ75" s="83"/>
      <c r="AK75" s="20"/>
      <c r="AL75" s="20"/>
      <c r="AM75" s="20"/>
      <c r="AN75" s="83"/>
      <c r="AO75" s="20"/>
      <c r="AP75" s="20"/>
    </row>
    <row r="76" spans="1:42" ht="10.5">
      <c r="A76" s="753" t="s">
        <v>60</v>
      </c>
      <c r="B76" s="596">
        <v>2015</v>
      </c>
      <c r="C76" s="596">
        <v>2016</v>
      </c>
      <c r="D76" s="596">
        <v>2017</v>
      </c>
      <c r="E76" s="596">
        <v>2018</v>
      </c>
      <c r="F76" s="596">
        <v>2019</v>
      </c>
      <c r="G76" s="596">
        <v>2020</v>
      </c>
      <c r="H76" s="596">
        <v>2021</v>
      </c>
      <c r="I76" s="596">
        <v>2022</v>
      </c>
      <c r="J76" s="596">
        <v>2023</v>
      </c>
      <c r="K76" s="596">
        <v>2024</v>
      </c>
      <c r="L76" s="459"/>
      <c r="M76" s="596" t="s">
        <v>764</v>
      </c>
      <c r="N76" s="596" t="s">
        <v>765</v>
      </c>
      <c r="O76" s="596" t="s">
        <v>766</v>
      </c>
      <c r="P76" s="599" t="s">
        <v>767</v>
      </c>
      <c r="Q76" s="596" t="s">
        <v>768</v>
      </c>
      <c r="R76" s="596" t="s">
        <v>730</v>
      </c>
      <c r="S76" s="596" t="s">
        <v>731</v>
      </c>
      <c r="T76" s="599" t="s">
        <v>732</v>
      </c>
      <c r="U76" s="596" t="s">
        <v>733</v>
      </c>
      <c r="V76" s="596" t="s">
        <v>626</v>
      </c>
      <c r="W76" s="596" t="s">
        <v>620</v>
      </c>
      <c r="X76" s="599" t="s">
        <v>619</v>
      </c>
      <c r="Y76" s="596" t="s">
        <v>614</v>
      </c>
      <c r="Z76" s="596" t="s">
        <v>604</v>
      </c>
      <c r="AA76" s="596" t="s">
        <v>589</v>
      </c>
      <c r="AB76" s="599" t="s">
        <v>587</v>
      </c>
      <c r="AC76" s="596" t="s">
        <v>504</v>
      </c>
      <c r="AD76" s="596" t="s">
        <v>551</v>
      </c>
      <c r="AE76" s="596" t="s">
        <v>532</v>
      </c>
      <c r="AF76" s="599" t="s">
        <v>530</v>
      </c>
      <c r="AG76" s="596" t="s">
        <v>803</v>
      </c>
      <c r="AH76" s="596" t="s">
        <v>812</v>
      </c>
      <c r="AI76" s="596" t="s">
        <v>816</v>
      </c>
      <c r="AJ76" s="599" t="s">
        <v>835</v>
      </c>
      <c r="AK76" s="596" t="s">
        <v>872</v>
      </c>
      <c r="AL76" s="596" t="s">
        <v>986</v>
      </c>
      <c r="AM76" s="596" t="s">
        <v>1016</v>
      </c>
      <c r="AN76" s="599" t="s">
        <v>1039</v>
      </c>
      <c r="AO76" s="596" t="s">
        <v>1076</v>
      </c>
      <c r="AP76" s="596" t="s">
        <v>1285</v>
      </c>
    </row>
    <row r="77" spans="1:42">
      <c r="A77" s="23" t="s">
        <v>106</v>
      </c>
      <c r="B77" s="15">
        <v>0</v>
      </c>
      <c r="C77" s="15">
        <v>8510</v>
      </c>
      <c r="D77" s="15">
        <v>7710</v>
      </c>
      <c r="E77" s="15">
        <v>10276.325125165898</v>
      </c>
      <c r="F77" s="15">
        <v>14238</v>
      </c>
      <c r="G77" s="15">
        <v>13861</v>
      </c>
      <c r="H77" s="15">
        <v>11382</v>
      </c>
      <c r="I77" s="15">
        <v>12197</v>
      </c>
      <c r="J77" s="15">
        <v>16442</v>
      </c>
      <c r="K77" s="15">
        <v>20410</v>
      </c>
      <c r="M77" s="15">
        <v>2219</v>
      </c>
      <c r="N77" s="15">
        <v>2469</v>
      </c>
      <c r="O77" s="15">
        <v>2414</v>
      </c>
      <c r="P77" s="85">
        <v>3174</v>
      </c>
      <c r="Q77" s="15">
        <v>2678</v>
      </c>
      <c r="R77" s="15">
        <v>3640</v>
      </c>
      <c r="S77" s="15">
        <v>3570</v>
      </c>
      <c r="T77" s="85">
        <v>4350</v>
      </c>
      <c r="U77" s="15">
        <v>3313</v>
      </c>
      <c r="V77" s="15">
        <v>3638</v>
      </c>
      <c r="W77" s="15">
        <v>3198</v>
      </c>
      <c r="X77" s="85">
        <v>3712</v>
      </c>
      <c r="Y77" s="15">
        <v>2519</v>
      </c>
      <c r="Z77" s="15">
        <v>2768</v>
      </c>
      <c r="AA77" s="15">
        <v>2688</v>
      </c>
      <c r="AB77" s="85">
        <v>3407.3960914652002</v>
      </c>
      <c r="AC77" s="15">
        <v>2562</v>
      </c>
      <c r="AD77" s="15">
        <v>3052.2486924113</v>
      </c>
      <c r="AE77" s="15">
        <v>2792.0781614924999</v>
      </c>
      <c r="AF77" s="85">
        <v>3790.6080838184007</v>
      </c>
      <c r="AG77" s="15">
        <v>3698.7304317127</v>
      </c>
      <c r="AH77" s="15">
        <v>3550.0012442187999</v>
      </c>
      <c r="AI77" s="15">
        <v>4155.3568106990015</v>
      </c>
      <c r="AJ77" s="85">
        <v>5036.8462749858008</v>
      </c>
      <c r="AK77" s="15">
        <v>4120.4110178054998</v>
      </c>
      <c r="AL77" s="15">
        <v>5488.7468488042996</v>
      </c>
      <c r="AM77" s="15">
        <v>4870.4002468865983</v>
      </c>
      <c r="AN77" s="85">
        <v>5929.6256847931991</v>
      </c>
      <c r="AO77" s="15">
        <v>4708.3182788562999</v>
      </c>
      <c r="AP77" s="15">
        <v>5546.6454628759011</v>
      </c>
    </row>
    <row r="78" spans="1:42">
      <c r="A78" s="19" t="s">
        <v>68</v>
      </c>
      <c r="B78" s="20">
        <v>0</v>
      </c>
      <c r="C78" s="20">
        <v>-7.4</v>
      </c>
      <c r="D78" s="20">
        <v>31.49</v>
      </c>
      <c r="E78" s="20">
        <v>34</v>
      </c>
      <c r="F78" s="20">
        <v>-5</v>
      </c>
      <c r="G78" s="20">
        <v>-13</v>
      </c>
      <c r="H78" s="20">
        <v>9</v>
      </c>
      <c r="I78" s="20">
        <v>11</v>
      </c>
      <c r="J78" s="20">
        <v>12</v>
      </c>
      <c r="K78" s="20">
        <v>6</v>
      </c>
      <c r="M78" s="20">
        <v>21</v>
      </c>
      <c r="N78" s="45">
        <v>42.546180842285075</v>
      </c>
      <c r="O78" s="45">
        <v>39</v>
      </c>
      <c r="P78" s="86">
        <v>29</v>
      </c>
      <c r="Q78" s="20">
        <v>22</v>
      </c>
      <c r="R78" s="45">
        <v>-1</v>
      </c>
      <c r="S78" s="45">
        <v>-12</v>
      </c>
      <c r="T78" s="86">
        <v>-15</v>
      </c>
      <c r="U78" s="20">
        <v>-25</v>
      </c>
      <c r="V78" s="20">
        <v>-21</v>
      </c>
      <c r="W78" s="20">
        <v>-8</v>
      </c>
      <c r="X78" s="83">
        <v>0</v>
      </c>
      <c r="Y78" s="20">
        <v>11</v>
      </c>
      <c r="Z78" s="20">
        <v>17</v>
      </c>
      <c r="AA78" s="20">
        <v>0</v>
      </c>
      <c r="AB78" s="83">
        <v>7</v>
      </c>
      <c r="AC78" s="20">
        <v>20</v>
      </c>
      <c r="AD78" s="20">
        <v>-6</v>
      </c>
      <c r="AE78" s="20">
        <v>22</v>
      </c>
      <c r="AF78" s="83">
        <v>12</v>
      </c>
      <c r="AG78" s="20">
        <v>-1</v>
      </c>
      <c r="AH78" s="20">
        <v>37</v>
      </c>
      <c r="AI78" s="20">
        <v>5</v>
      </c>
      <c r="AJ78" s="83">
        <v>11</v>
      </c>
      <c r="AK78" s="20">
        <v>13</v>
      </c>
      <c r="AL78" s="20">
        <v>1</v>
      </c>
      <c r="AM78" s="20">
        <v>8</v>
      </c>
      <c r="AN78" s="83">
        <v>4</v>
      </c>
      <c r="AO78" s="20">
        <v>8</v>
      </c>
      <c r="AP78" s="20">
        <v>-1</v>
      </c>
    </row>
    <row r="79" spans="1:42">
      <c r="A79" s="19" t="s">
        <v>32</v>
      </c>
      <c r="B79" s="20">
        <v>0</v>
      </c>
      <c r="C79" s="20">
        <v>-2</v>
      </c>
      <c r="D79" s="20">
        <v>1</v>
      </c>
      <c r="E79" s="20">
        <v>1.3442925360473661</v>
      </c>
      <c r="F79" s="20">
        <v>4</v>
      </c>
      <c r="G79" s="20">
        <v>-4.6418003772554446</v>
      </c>
      <c r="H79" s="20">
        <v>-3.6258458519364578</v>
      </c>
      <c r="I79" s="20">
        <v>12</v>
      </c>
      <c r="J79" s="20">
        <v>3.2783732480514165</v>
      </c>
      <c r="K79" s="20">
        <v>-1.5560202916157415</v>
      </c>
      <c r="M79" s="20">
        <v>-4</v>
      </c>
      <c r="N79" s="20">
        <v>0.64122466135187706</v>
      </c>
      <c r="O79" s="20">
        <v>5.2355101537391011</v>
      </c>
      <c r="P79" s="83">
        <v>2.9054635824282227</v>
      </c>
      <c r="Q79" s="20">
        <v>5.020507706141637</v>
      </c>
      <c r="R79" s="20">
        <v>3.0475416339540446</v>
      </c>
      <c r="S79" s="20">
        <v>4.3910405915893111</v>
      </c>
      <c r="T79" s="83">
        <v>2</v>
      </c>
      <c r="U79" s="20">
        <v>1</v>
      </c>
      <c r="V79" s="20">
        <v>-2.6780815954308501</v>
      </c>
      <c r="W79" s="20">
        <v>-8.1915328376155117</v>
      </c>
      <c r="X79" s="83">
        <v>-8.2610357937007866</v>
      </c>
      <c r="Y79" s="20">
        <v>-9.2242855650961886</v>
      </c>
      <c r="Z79" s="20">
        <v>-7.8851465252857231</v>
      </c>
      <c r="AA79" s="20">
        <v>-0.24739205555794228</v>
      </c>
      <c r="AB79" s="83">
        <v>1.3185696182322182</v>
      </c>
      <c r="AC79" s="20">
        <v>8.5163516662758649</v>
      </c>
      <c r="AD79" s="20">
        <v>8.9669034502701539</v>
      </c>
      <c r="AE79" s="20">
        <v>15.256431052616943</v>
      </c>
      <c r="AF79" s="83">
        <v>13.002829641214916</v>
      </c>
      <c r="AG79" s="20">
        <v>5.9662157947322294</v>
      </c>
      <c r="AH79" s="20">
        <v>6.4114963578071338</v>
      </c>
      <c r="AI79" s="20">
        <v>1.8280416669978377</v>
      </c>
      <c r="AJ79" s="83">
        <v>0.46344801160326493</v>
      </c>
      <c r="AK79" s="20">
        <v>-3.196521407510204</v>
      </c>
      <c r="AL79" s="20">
        <v>-0.53615924813801996</v>
      </c>
      <c r="AM79" s="20">
        <v>-4.1796813275477147</v>
      </c>
      <c r="AN79" s="83">
        <v>0.82033876749246482</v>
      </c>
      <c r="AO79" s="20">
        <v>-0.11664074735690769</v>
      </c>
      <c r="AP79" s="20">
        <v>-9</v>
      </c>
    </row>
    <row r="80" spans="1:42">
      <c r="A80" s="19" t="s">
        <v>114</v>
      </c>
      <c r="B80" s="20">
        <v>0</v>
      </c>
      <c r="C80" s="20">
        <v>0</v>
      </c>
      <c r="D80" s="20">
        <v>0.5</v>
      </c>
      <c r="E80" s="20">
        <v>4.2077825276184866</v>
      </c>
      <c r="F80" s="20">
        <v>-2</v>
      </c>
      <c r="G80" s="20">
        <v>-0.11213264920438543</v>
      </c>
      <c r="H80" s="20">
        <v>2.1452762504014071</v>
      </c>
      <c r="I80" s="20">
        <v>2</v>
      </c>
      <c r="J80" s="20">
        <v>2.5993124309479141</v>
      </c>
      <c r="K80" s="20">
        <v>2.1408464992667375</v>
      </c>
      <c r="M80" s="20">
        <v>4</v>
      </c>
      <c r="N80" s="20">
        <v>3</v>
      </c>
      <c r="O80" s="20">
        <v>3.6623678396148542</v>
      </c>
      <c r="P80" s="83">
        <v>4.5806528035973422</v>
      </c>
      <c r="Q80" s="20">
        <v>-2.6213325868380886</v>
      </c>
      <c r="R80" s="20">
        <v>-2.0245423113043737</v>
      </c>
      <c r="S80" s="20">
        <v>-1.9495052648841589</v>
      </c>
      <c r="T80" s="83">
        <v>-2</v>
      </c>
      <c r="U80" s="20">
        <v>0</v>
      </c>
      <c r="V80" s="20">
        <v>-0.40193739802379291</v>
      </c>
      <c r="W80" s="20">
        <v>-5.1513142283087954E-2</v>
      </c>
      <c r="X80" s="83">
        <v>0.2179992260816157</v>
      </c>
      <c r="Y80" s="20">
        <v>0.17460985343799901</v>
      </c>
      <c r="Z80" s="20">
        <v>1.1869764096162334</v>
      </c>
      <c r="AA80" s="20">
        <v>3.5934529660071233</v>
      </c>
      <c r="AB80" s="83">
        <v>3.2376583408139585</v>
      </c>
      <c r="AC80" s="20">
        <v>3.7757539792687131</v>
      </c>
      <c r="AD80" s="20">
        <v>2.2285256077590829</v>
      </c>
      <c r="AE80" s="20">
        <v>0.24371897928038264</v>
      </c>
      <c r="AF80" s="83">
        <v>1.3937652094586845</v>
      </c>
      <c r="AG80" s="20">
        <v>0.39039179168828658</v>
      </c>
      <c r="AH80" s="20">
        <v>4.2624511054840033</v>
      </c>
      <c r="AI80" s="20">
        <v>3.5378869862039286</v>
      </c>
      <c r="AJ80" s="83">
        <v>2.275599549090277</v>
      </c>
      <c r="AK80" s="20">
        <v>4.4283163703724533</v>
      </c>
      <c r="AL80" s="20">
        <v>1.2120340446112234</v>
      </c>
      <c r="AM80" s="20">
        <v>2.1598157579837478</v>
      </c>
      <c r="AN80" s="83">
        <v>1.3953391385005371</v>
      </c>
      <c r="AO80" s="20">
        <v>2.1239005962929729E-12</v>
      </c>
      <c r="AP80" s="20">
        <v>-3.6057830149522716E-12</v>
      </c>
    </row>
    <row r="81" spans="1:42">
      <c r="A81" s="21" t="s">
        <v>33</v>
      </c>
      <c r="B81" s="44">
        <v>0</v>
      </c>
      <c r="C81" s="44">
        <v>-9</v>
      </c>
      <c r="D81" s="44">
        <v>33</v>
      </c>
      <c r="E81" s="44">
        <v>39</v>
      </c>
      <c r="F81" s="44">
        <v>-3</v>
      </c>
      <c r="G81" s="44">
        <v>-18</v>
      </c>
      <c r="H81" s="44">
        <v>7</v>
      </c>
      <c r="I81" s="44">
        <v>25</v>
      </c>
      <c r="J81" s="44">
        <v>18</v>
      </c>
      <c r="K81" s="44">
        <v>6</v>
      </c>
      <c r="M81" s="44">
        <v>21</v>
      </c>
      <c r="N81" s="44">
        <v>47</v>
      </c>
      <c r="O81" s="44">
        <v>48</v>
      </c>
      <c r="P81" s="84">
        <v>37</v>
      </c>
      <c r="Q81" s="44">
        <v>24</v>
      </c>
      <c r="R81" s="44">
        <v>0</v>
      </c>
      <c r="S81" s="44">
        <v>-10</v>
      </c>
      <c r="T81" s="84">
        <v>-15</v>
      </c>
      <c r="U81" s="44">
        <v>-24</v>
      </c>
      <c r="V81" s="44">
        <v>-24</v>
      </c>
      <c r="W81" s="44">
        <v>-16</v>
      </c>
      <c r="X81" s="84">
        <v>-8</v>
      </c>
      <c r="Y81" s="44">
        <v>2</v>
      </c>
      <c r="Z81" s="44">
        <v>10</v>
      </c>
      <c r="AA81" s="44">
        <v>4</v>
      </c>
      <c r="AB81" s="84">
        <v>11</v>
      </c>
      <c r="AC81" s="44">
        <v>33</v>
      </c>
      <c r="AD81" s="44">
        <v>5</v>
      </c>
      <c r="AE81" s="44">
        <v>37</v>
      </c>
      <c r="AF81" s="84">
        <v>26</v>
      </c>
      <c r="AG81" s="44">
        <v>5</v>
      </c>
      <c r="AH81" s="44">
        <v>47</v>
      </c>
      <c r="AI81" s="44">
        <v>11</v>
      </c>
      <c r="AJ81" s="84">
        <v>13</v>
      </c>
      <c r="AK81" s="44">
        <v>14</v>
      </c>
      <c r="AL81" s="44">
        <v>1</v>
      </c>
      <c r="AM81" s="44">
        <v>6</v>
      </c>
      <c r="AN81" s="84">
        <v>6</v>
      </c>
      <c r="AO81" s="44">
        <v>8</v>
      </c>
      <c r="AP81" s="44">
        <v>-10</v>
      </c>
    </row>
    <row r="82" spans="1:42">
      <c r="A82" s="19" t="s">
        <v>107</v>
      </c>
      <c r="B82" s="15">
        <v>8510</v>
      </c>
      <c r="C82" s="15">
        <v>7710</v>
      </c>
      <c r="D82" s="15">
        <v>10276</v>
      </c>
      <c r="E82" s="15">
        <v>14237.832176572398</v>
      </c>
      <c r="F82" s="15">
        <v>13861</v>
      </c>
      <c r="G82" s="15">
        <v>11382</v>
      </c>
      <c r="H82" s="15">
        <v>12197</v>
      </c>
      <c r="I82" s="15">
        <v>15199</v>
      </c>
      <c r="J82" s="15">
        <v>19400</v>
      </c>
      <c r="K82" s="15">
        <v>21726</v>
      </c>
      <c r="M82" s="15">
        <v>2678</v>
      </c>
      <c r="N82" s="15">
        <v>3640</v>
      </c>
      <c r="O82" s="15">
        <v>3570</v>
      </c>
      <c r="P82" s="85">
        <v>4350</v>
      </c>
      <c r="Q82" s="15">
        <v>3313</v>
      </c>
      <c r="R82" s="15">
        <v>3638</v>
      </c>
      <c r="S82" s="15">
        <v>3198</v>
      </c>
      <c r="T82" s="85">
        <v>3712</v>
      </c>
      <c r="U82" s="15">
        <v>2519</v>
      </c>
      <c r="V82" s="15">
        <v>2768</v>
      </c>
      <c r="W82" s="15">
        <v>2688</v>
      </c>
      <c r="X82" s="85">
        <v>3408</v>
      </c>
      <c r="Y82" s="15">
        <v>2562</v>
      </c>
      <c r="Z82" s="15">
        <v>3051</v>
      </c>
      <c r="AA82" s="15">
        <v>2792</v>
      </c>
      <c r="AB82" s="85">
        <v>3790.6080838187008</v>
      </c>
      <c r="AC82" s="15">
        <v>3410</v>
      </c>
      <c r="AD82" s="15">
        <v>3190.0958032311009</v>
      </c>
      <c r="AE82" s="15">
        <v>3832.0367570295002</v>
      </c>
      <c r="AF82" s="85">
        <v>4765.9577860557019</v>
      </c>
      <c r="AG82" s="15">
        <v>3880.7236650608984</v>
      </c>
      <c r="AH82" s="15">
        <v>5232.7209269842015</v>
      </c>
      <c r="AI82" s="15">
        <v>4619.3574354577986</v>
      </c>
      <c r="AJ82" s="85">
        <v>5666.7265806310015</v>
      </c>
      <c r="AK82" s="15">
        <v>4708.3182788561999</v>
      </c>
      <c r="AL82" s="15">
        <v>5546.6454628757992</v>
      </c>
      <c r="AM82" s="15">
        <v>5178.4339756839008</v>
      </c>
      <c r="AN82" s="85">
        <v>6292.6693177953994</v>
      </c>
      <c r="AO82" s="15">
        <v>5072</v>
      </c>
      <c r="AP82" s="15">
        <v>5012.1048618576997</v>
      </c>
    </row>
    <row r="83" spans="1:42">
      <c r="A83" s="19"/>
      <c r="B83" s="20"/>
      <c r="C83" s="20"/>
      <c r="E83" s="20"/>
      <c r="F83" s="20"/>
      <c r="G83" s="20"/>
      <c r="H83" s="20"/>
      <c r="I83" s="20"/>
      <c r="J83" s="20"/>
      <c r="K83" s="20"/>
      <c r="M83" s="20"/>
      <c r="P83" s="80"/>
      <c r="Q83" s="20"/>
      <c r="T83" s="80"/>
      <c r="U83" s="20"/>
      <c r="V83" s="20"/>
      <c r="W83" s="20"/>
      <c r="X83" s="83"/>
      <c r="Y83" s="20"/>
      <c r="Z83" s="20"/>
      <c r="AA83" s="20"/>
      <c r="AB83" s="83"/>
      <c r="AC83" s="20"/>
      <c r="AD83" s="20"/>
      <c r="AE83" s="20"/>
      <c r="AF83" s="83"/>
      <c r="AG83" s="20"/>
      <c r="AH83" s="20"/>
      <c r="AI83" s="20"/>
      <c r="AJ83" s="83"/>
      <c r="AK83" s="20"/>
      <c r="AL83" s="20"/>
      <c r="AM83" s="20"/>
      <c r="AN83" s="83"/>
      <c r="AO83" s="20"/>
      <c r="AP83" s="20"/>
    </row>
    <row r="84" spans="1:42" ht="10.5">
      <c r="A84" s="753" t="s">
        <v>66</v>
      </c>
      <c r="B84" s="596">
        <v>2015</v>
      </c>
      <c r="C84" s="596">
        <v>2016</v>
      </c>
      <c r="D84" s="596">
        <v>2017</v>
      </c>
      <c r="E84" s="596">
        <v>2018</v>
      </c>
      <c r="F84" s="596">
        <v>2019</v>
      </c>
      <c r="G84" s="596">
        <v>2020</v>
      </c>
      <c r="H84" s="596">
        <v>2021</v>
      </c>
      <c r="I84" s="596">
        <v>2022</v>
      </c>
      <c r="J84" s="596">
        <v>2023</v>
      </c>
      <c r="K84" s="596">
        <v>2024</v>
      </c>
      <c r="L84" s="459"/>
      <c r="M84" s="596" t="s">
        <v>764</v>
      </c>
      <c r="N84" s="596" t="s">
        <v>765</v>
      </c>
      <c r="O84" s="596" t="s">
        <v>766</v>
      </c>
      <c r="P84" s="599" t="s">
        <v>767</v>
      </c>
      <c r="Q84" s="596" t="s">
        <v>768</v>
      </c>
      <c r="R84" s="596" t="s">
        <v>730</v>
      </c>
      <c r="S84" s="596" t="s">
        <v>731</v>
      </c>
      <c r="T84" s="599" t="s">
        <v>732</v>
      </c>
      <c r="U84" s="596" t="s">
        <v>733</v>
      </c>
      <c r="V84" s="596" t="s">
        <v>626</v>
      </c>
      <c r="W84" s="596" t="s">
        <v>620</v>
      </c>
      <c r="X84" s="599" t="s">
        <v>619</v>
      </c>
      <c r="Y84" s="596" t="s">
        <v>614</v>
      </c>
      <c r="Z84" s="596" t="s">
        <v>604</v>
      </c>
      <c r="AA84" s="596" t="s">
        <v>589</v>
      </c>
      <c r="AB84" s="599" t="s">
        <v>587</v>
      </c>
      <c r="AC84" s="596" t="s">
        <v>504</v>
      </c>
      <c r="AD84" s="596" t="s">
        <v>551</v>
      </c>
      <c r="AE84" s="596" t="s">
        <v>532</v>
      </c>
      <c r="AF84" s="599" t="s">
        <v>530</v>
      </c>
      <c r="AG84" s="596" t="s">
        <v>803</v>
      </c>
      <c r="AH84" s="596" t="s">
        <v>812</v>
      </c>
      <c r="AI84" s="596" t="s">
        <v>816</v>
      </c>
      <c r="AJ84" s="599" t="s">
        <v>835</v>
      </c>
      <c r="AK84" s="596" t="s">
        <v>872</v>
      </c>
      <c r="AL84" s="596" t="s">
        <v>986</v>
      </c>
      <c r="AM84" s="596" t="s">
        <v>1016</v>
      </c>
      <c r="AN84" s="599" t="s">
        <v>1039</v>
      </c>
      <c r="AO84" s="596" t="s">
        <v>1076</v>
      </c>
      <c r="AP84" s="596" t="s">
        <v>1285</v>
      </c>
    </row>
    <row r="85" spans="1:42">
      <c r="A85" s="23" t="s">
        <v>106</v>
      </c>
      <c r="B85" s="15">
        <v>0</v>
      </c>
      <c r="C85" s="15">
        <v>11807</v>
      </c>
      <c r="D85" s="15">
        <v>11188</v>
      </c>
      <c r="E85" s="15">
        <v>12106.760383407502</v>
      </c>
      <c r="F85" s="15">
        <v>14302</v>
      </c>
      <c r="G85" s="15">
        <v>16030</v>
      </c>
      <c r="H85" s="15">
        <v>15545</v>
      </c>
      <c r="I85" s="15">
        <v>17123</v>
      </c>
      <c r="J85" s="15">
        <v>22462</v>
      </c>
      <c r="K85" s="15">
        <v>27120</v>
      </c>
      <c r="M85" s="15">
        <v>3001</v>
      </c>
      <c r="N85" s="15">
        <v>3026</v>
      </c>
      <c r="O85" s="15">
        <v>2992</v>
      </c>
      <c r="P85" s="85">
        <v>3088</v>
      </c>
      <c r="Q85" s="15">
        <v>3265</v>
      </c>
      <c r="R85" s="15">
        <v>3685</v>
      </c>
      <c r="S85" s="15">
        <v>3608</v>
      </c>
      <c r="T85" s="85">
        <v>3744</v>
      </c>
      <c r="U85" s="15">
        <v>3802</v>
      </c>
      <c r="V85" s="15">
        <v>4064</v>
      </c>
      <c r="W85" s="15">
        <v>4136</v>
      </c>
      <c r="X85" s="85">
        <v>4028</v>
      </c>
      <c r="Y85" s="15">
        <v>4060</v>
      </c>
      <c r="Z85" s="15">
        <v>3654</v>
      </c>
      <c r="AA85" s="15">
        <v>3783</v>
      </c>
      <c r="AB85" s="85">
        <v>4048.4015050332996</v>
      </c>
      <c r="AC85" s="15">
        <v>3829</v>
      </c>
      <c r="AD85" s="15">
        <v>4134.8564022636001</v>
      </c>
      <c r="AE85" s="15">
        <v>4449.5456728673998</v>
      </c>
      <c r="AF85" s="85">
        <v>4709.3414136830997</v>
      </c>
      <c r="AG85" s="15">
        <v>4786.3096211724005</v>
      </c>
      <c r="AH85" s="15">
        <v>5509.9794853202002</v>
      </c>
      <c r="AI85" s="15">
        <v>5915.4273265544998</v>
      </c>
      <c r="AJ85" s="85">
        <v>6252.2085194894998</v>
      </c>
      <c r="AK85" s="15">
        <v>6612.8336899743999</v>
      </c>
      <c r="AL85" s="15">
        <v>7021.3296822210004</v>
      </c>
      <c r="AM85" s="15">
        <v>6858.5240162184</v>
      </c>
      <c r="AN85" s="85">
        <v>6628.0611633289</v>
      </c>
      <c r="AO85" s="15">
        <v>6504.0473019096999</v>
      </c>
      <c r="AP85" s="15">
        <v>6968.8806378891995</v>
      </c>
    </row>
    <row r="86" spans="1:42">
      <c r="A86" s="19" t="s">
        <v>68</v>
      </c>
      <c r="B86" s="20">
        <v>0</v>
      </c>
      <c r="C86" s="20">
        <v>-2.4</v>
      </c>
      <c r="D86" s="20">
        <v>3.92</v>
      </c>
      <c r="E86" s="20">
        <v>15</v>
      </c>
      <c r="F86" s="20">
        <v>8</v>
      </c>
      <c r="G86" s="20">
        <v>5</v>
      </c>
      <c r="H86" s="20">
        <v>13</v>
      </c>
      <c r="I86" s="20">
        <v>15</v>
      </c>
      <c r="J86" s="20">
        <v>12</v>
      </c>
      <c r="K86" s="20">
        <v>3</v>
      </c>
      <c r="M86" s="20">
        <v>12.183014796612806</v>
      </c>
      <c r="N86" s="20">
        <v>19.130356094998316</v>
      </c>
      <c r="O86" s="20">
        <v>14</v>
      </c>
      <c r="P86" s="83">
        <v>16</v>
      </c>
      <c r="Q86" s="20">
        <v>12</v>
      </c>
      <c r="R86" s="20">
        <v>8</v>
      </c>
      <c r="S86" s="20">
        <v>10</v>
      </c>
      <c r="T86" s="83">
        <v>5</v>
      </c>
      <c r="U86" s="20">
        <v>7</v>
      </c>
      <c r="V86" s="20">
        <v>-4</v>
      </c>
      <c r="W86" s="20">
        <v>3</v>
      </c>
      <c r="X86" s="83">
        <v>13</v>
      </c>
      <c r="Y86" s="20">
        <v>5</v>
      </c>
      <c r="Z86" s="20">
        <v>21</v>
      </c>
      <c r="AA86" s="20">
        <v>15</v>
      </c>
      <c r="AB86" s="83">
        <v>11</v>
      </c>
      <c r="AC86" s="20">
        <v>15</v>
      </c>
      <c r="AD86" s="20">
        <v>18</v>
      </c>
      <c r="AE86" s="20">
        <v>16</v>
      </c>
      <c r="AF86" s="83">
        <v>10</v>
      </c>
      <c r="AG86" s="20">
        <v>19</v>
      </c>
      <c r="AH86" s="20">
        <v>13</v>
      </c>
      <c r="AI86" s="20">
        <v>10</v>
      </c>
      <c r="AJ86" s="83">
        <v>8</v>
      </c>
      <c r="AK86" s="20">
        <v>2</v>
      </c>
      <c r="AL86" s="20">
        <v>2</v>
      </c>
      <c r="AM86" s="20">
        <v>3</v>
      </c>
      <c r="AN86" s="83">
        <v>7</v>
      </c>
      <c r="AO86" s="20">
        <v>2</v>
      </c>
      <c r="AP86" s="20">
        <v>2</v>
      </c>
    </row>
    <row r="87" spans="1:42">
      <c r="A87" s="19" t="s">
        <v>32</v>
      </c>
      <c r="B87" s="20">
        <v>0</v>
      </c>
      <c r="C87" s="20">
        <v>-3</v>
      </c>
      <c r="D87" s="20">
        <v>4</v>
      </c>
      <c r="E87" s="20">
        <v>0.25423478498825874</v>
      </c>
      <c r="F87" s="20">
        <v>4</v>
      </c>
      <c r="G87" s="20">
        <v>-7.6810604278769938</v>
      </c>
      <c r="H87" s="20">
        <v>-4.1434931398847823</v>
      </c>
      <c r="I87" s="20">
        <v>12</v>
      </c>
      <c r="J87" s="20">
        <v>3.1416815828750853</v>
      </c>
      <c r="K87" s="20">
        <v>-2.1248016475759242</v>
      </c>
      <c r="M87" s="20">
        <v>-5.40759775345692</v>
      </c>
      <c r="N87" s="20">
        <v>0.23718052208889645</v>
      </c>
      <c r="O87" s="20">
        <v>4.0284941076476972</v>
      </c>
      <c r="P87" s="83">
        <v>2.1158821914549502</v>
      </c>
      <c r="Q87" s="20">
        <v>4.0648838791306785</v>
      </c>
      <c r="R87" s="20">
        <v>2.2089137106933485</v>
      </c>
      <c r="S87" s="20">
        <v>5.3479218846486365</v>
      </c>
      <c r="T87" s="83">
        <v>3</v>
      </c>
      <c r="U87" s="20">
        <v>0</v>
      </c>
      <c r="V87" s="20">
        <v>-5.6581088595430842</v>
      </c>
      <c r="W87" s="20">
        <v>-12.130087116764598</v>
      </c>
      <c r="X87" s="83">
        <v>-12.616309013758652</v>
      </c>
      <c r="Y87" s="20">
        <v>-10.577025788819247</v>
      </c>
      <c r="Z87" s="20">
        <v>-8.4992773782346465</v>
      </c>
      <c r="AA87" s="20">
        <v>-0.34920063990701772</v>
      </c>
      <c r="AB87" s="83">
        <v>2.6969495122278935</v>
      </c>
      <c r="AC87" s="20">
        <v>7.4012792663285989</v>
      </c>
      <c r="AD87" s="20">
        <v>11.176454012625046</v>
      </c>
      <c r="AE87" s="20">
        <v>14.228565956153231</v>
      </c>
      <c r="AF87" s="83">
        <v>13.687449502812873</v>
      </c>
      <c r="AG87" s="20">
        <v>8.0869424359482878</v>
      </c>
      <c r="AH87" s="20">
        <v>5.2653193403213763</v>
      </c>
      <c r="AI87" s="20">
        <v>1.3731480971165479</v>
      </c>
      <c r="AJ87" s="83">
        <v>-0.97388162386669763</v>
      </c>
      <c r="AK87" s="20">
        <v>-2.891496956304354</v>
      </c>
      <c r="AL87" s="20">
        <v>-1.6089764034745693</v>
      </c>
      <c r="AM87" s="20">
        <v>-4.031135168686057</v>
      </c>
      <c r="AN87" s="83">
        <v>5.8018861887570876E-2</v>
      </c>
      <c r="AO87" s="20">
        <v>-0.19451880205707106</v>
      </c>
      <c r="AP87" s="20">
        <v>-9.5287633633477338</v>
      </c>
    </row>
    <row r="88" spans="1:42">
      <c r="A88" s="19" t="s">
        <v>114</v>
      </c>
      <c r="B88" s="20">
        <v>0</v>
      </c>
      <c r="C88" s="20">
        <v>0</v>
      </c>
      <c r="D88" s="20">
        <v>0.3</v>
      </c>
      <c r="E88" s="20">
        <v>2.5663558961142288</v>
      </c>
      <c r="F88" s="20">
        <v>0</v>
      </c>
      <c r="G88" s="20">
        <v>0.10689912630422839</v>
      </c>
      <c r="H88" s="20">
        <v>1.4652839165199316</v>
      </c>
      <c r="I88" s="20">
        <v>4</v>
      </c>
      <c r="J88" s="20">
        <v>9.9841678160968907</v>
      </c>
      <c r="K88" s="20">
        <v>-0.94094949966638386</v>
      </c>
      <c r="M88" s="20">
        <v>2</v>
      </c>
      <c r="N88" s="20">
        <v>3</v>
      </c>
      <c r="O88" s="20">
        <v>2.8710300069147108</v>
      </c>
      <c r="P88" s="83">
        <v>2.9402706363607036</v>
      </c>
      <c r="Q88" s="20">
        <v>0.38586517096454831</v>
      </c>
      <c r="R88" s="20">
        <v>0.49665933545794283</v>
      </c>
      <c r="S88" s="20">
        <v>0.39086429361162944</v>
      </c>
      <c r="T88" s="83">
        <v>0</v>
      </c>
      <c r="U88" s="20">
        <v>0</v>
      </c>
      <c r="V88" s="20">
        <v>0</v>
      </c>
      <c r="W88" s="20">
        <v>7.5199874798604072E-2</v>
      </c>
      <c r="X88" s="83">
        <v>0.25442120749587344</v>
      </c>
      <c r="Y88" s="20">
        <v>0.21036964891008042</v>
      </c>
      <c r="Z88" s="20">
        <v>0.36454743674118761</v>
      </c>
      <c r="AA88" s="20">
        <v>2.8144389742574969</v>
      </c>
      <c r="AB88" s="83">
        <v>2.4570424501357149</v>
      </c>
      <c r="AC88" s="20">
        <v>3.1783004798013477</v>
      </c>
      <c r="AD88" s="20">
        <v>3.8639024327110758</v>
      </c>
      <c r="AE88" s="20">
        <v>2.8501230609972721</v>
      </c>
      <c r="AF88" s="83">
        <v>8.6932990609641703</v>
      </c>
      <c r="AG88" s="20">
        <v>15.578409620419894</v>
      </c>
      <c r="AH88" s="20">
        <v>13.562000986485968</v>
      </c>
      <c r="AI88" s="20">
        <v>9.0214101494326506</v>
      </c>
      <c r="AJ88" s="83">
        <v>3.4595398973507199</v>
      </c>
      <c r="AK88" s="20">
        <v>-1.2243736293315646</v>
      </c>
      <c r="AL88" s="20">
        <v>-0.68336959499703132</v>
      </c>
      <c r="AM88" s="20">
        <v>-1.0835194245488142</v>
      </c>
      <c r="AN88" s="83">
        <v>-0.78366946216157785</v>
      </c>
      <c r="AO88" s="20">
        <v>0.38542345446257087</v>
      </c>
      <c r="AP88" s="20">
        <v>-5.7742415304430107E-4</v>
      </c>
    </row>
    <row r="89" spans="1:42">
      <c r="A89" s="21" t="s">
        <v>33</v>
      </c>
      <c r="B89" s="44">
        <v>0</v>
      </c>
      <c r="C89" s="44">
        <v>-5</v>
      </c>
      <c r="D89" s="44">
        <v>8</v>
      </c>
      <c r="E89" s="44">
        <v>18</v>
      </c>
      <c r="F89" s="44">
        <v>12</v>
      </c>
      <c r="G89" s="44">
        <v>-3</v>
      </c>
      <c r="H89" s="44">
        <v>10</v>
      </c>
      <c r="I89" s="44">
        <v>31</v>
      </c>
      <c r="J89" s="44">
        <v>25</v>
      </c>
      <c r="K89" s="44">
        <v>0</v>
      </c>
      <c r="M89" s="44">
        <v>9</v>
      </c>
      <c r="N89" s="44">
        <v>22</v>
      </c>
      <c r="O89" s="44">
        <v>21</v>
      </c>
      <c r="P89" s="84">
        <v>21</v>
      </c>
      <c r="Q89" s="44">
        <v>16</v>
      </c>
      <c r="R89" s="44">
        <v>10</v>
      </c>
      <c r="S89" s="44">
        <v>15</v>
      </c>
      <c r="T89" s="84">
        <v>8</v>
      </c>
      <c r="U89" s="44">
        <v>7</v>
      </c>
      <c r="V89" s="44">
        <v>-10</v>
      </c>
      <c r="W89" s="44">
        <v>-9</v>
      </c>
      <c r="X89" s="84">
        <v>0</v>
      </c>
      <c r="Y89" s="44">
        <v>-6</v>
      </c>
      <c r="Z89" s="44">
        <v>13</v>
      </c>
      <c r="AA89" s="44">
        <v>18</v>
      </c>
      <c r="AB89" s="84">
        <v>16</v>
      </c>
      <c r="AC89" s="44">
        <v>25</v>
      </c>
      <c r="AD89" s="44">
        <v>33</v>
      </c>
      <c r="AE89" s="44">
        <v>33</v>
      </c>
      <c r="AF89" s="84">
        <v>33</v>
      </c>
      <c r="AG89" s="44">
        <v>43</v>
      </c>
      <c r="AH89" s="44">
        <v>32</v>
      </c>
      <c r="AI89" s="44">
        <v>20</v>
      </c>
      <c r="AJ89" s="84">
        <v>10</v>
      </c>
      <c r="AK89" s="44">
        <v>-2</v>
      </c>
      <c r="AL89" s="44">
        <v>-1</v>
      </c>
      <c r="AM89" s="44">
        <v>-2</v>
      </c>
      <c r="AN89" s="84">
        <v>6</v>
      </c>
      <c r="AO89" s="44">
        <v>2</v>
      </c>
      <c r="AP89" s="44">
        <v>-8</v>
      </c>
    </row>
    <row r="90" spans="1:42">
      <c r="A90" s="19" t="s">
        <v>107</v>
      </c>
      <c r="B90" s="15">
        <v>11807</v>
      </c>
      <c r="C90" s="15">
        <v>11188</v>
      </c>
      <c r="D90" s="15">
        <v>12107</v>
      </c>
      <c r="E90" s="15">
        <v>14302.1738787138</v>
      </c>
      <c r="F90" s="15">
        <v>16030</v>
      </c>
      <c r="G90" s="15">
        <v>15545</v>
      </c>
      <c r="H90" s="15">
        <v>17123</v>
      </c>
      <c r="I90" s="15">
        <v>22464</v>
      </c>
      <c r="J90" s="15">
        <v>28130</v>
      </c>
      <c r="K90" s="15">
        <v>27188</v>
      </c>
      <c r="M90" s="15">
        <v>3265</v>
      </c>
      <c r="N90" s="15">
        <v>3685</v>
      </c>
      <c r="O90" s="15">
        <v>3608</v>
      </c>
      <c r="P90" s="85">
        <v>3744.4</v>
      </c>
      <c r="Q90" s="15">
        <v>3802</v>
      </c>
      <c r="R90" s="15">
        <v>4064</v>
      </c>
      <c r="S90" s="15">
        <v>4136</v>
      </c>
      <c r="T90" s="85">
        <v>4028</v>
      </c>
      <c r="U90" s="15">
        <v>4060</v>
      </c>
      <c r="V90" s="15">
        <v>3654</v>
      </c>
      <c r="W90" s="15">
        <v>3783</v>
      </c>
      <c r="X90" s="85">
        <v>4048</v>
      </c>
      <c r="Y90" s="15">
        <v>3829</v>
      </c>
      <c r="Z90" s="15">
        <v>4136</v>
      </c>
      <c r="AA90" s="15">
        <v>4450</v>
      </c>
      <c r="AB90" s="85">
        <v>4709.3414136830997</v>
      </c>
      <c r="AC90" s="15">
        <v>4786</v>
      </c>
      <c r="AD90" s="15">
        <v>5509.9794853202002</v>
      </c>
      <c r="AE90" s="15">
        <v>5915.4273265544998</v>
      </c>
      <c r="AF90" s="85">
        <v>6252.1587303564993</v>
      </c>
      <c r="AG90" s="15">
        <v>6852.4210427190001</v>
      </c>
      <c r="AH90" s="15">
        <v>7277.2556040410991</v>
      </c>
      <c r="AI90" s="15">
        <v>7109.8668276473009</v>
      </c>
      <c r="AJ90" s="85">
        <v>6891.160267491</v>
      </c>
      <c r="AK90" s="15">
        <v>6504.0473019096999</v>
      </c>
      <c r="AL90" s="15">
        <v>6968.8806378891995</v>
      </c>
      <c r="AM90" s="15">
        <v>6696.5429511618995</v>
      </c>
      <c r="AN90" s="85">
        <v>7017.4923151024004</v>
      </c>
      <c r="AO90" s="15">
        <v>6632.4520328037006</v>
      </c>
      <c r="AP90" s="15">
        <v>6423.3489395507995</v>
      </c>
    </row>
    <row r="91" spans="1:42">
      <c r="A91" s="19"/>
      <c r="B91" s="20"/>
      <c r="C91" s="20"/>
      <c r="D91" s="20"/>
      <c r="M91" s="20"/>
      <c r="O91" s="43"/>
      <c r="P91" s="87"/>
      <c r="T91" s="80"/>
      <c r="X91" s="80"/>
      <c r="AB91" s="80"/>
      <c r="AF91" s="80"/>
      <c r="AJ91" s="80"/>
      <c r="AN91" s="80"/>
    </row>
    <row r="92" spans="1:42">
      <c r="A92" s="19"/>
      <c r="B92" s="20"/>
      <c r="C92" s="20"/>
      <c r="M92" s="20"/>
      <c r="P92" s="80"/>
      <c r="T92" s="80"/>
      <c r="X92" s="80"/>
      <c r="AB92" s="80"/>
      <c r="AF92" s="80"/>
      <c r="AJ92" s="80"/>
      <c r="AN92" s="80"/>
    </row>
    <row r="93" spans="1:42" ht="10.5">
      <c r="A93" s="753" t="s">
        <v>71</v>
      </c>
      <c r="B93" s="596">
        <v>2015</v>
      </c>
      <c r="C93" s="596">
        <v>2016</v>
      </c>
      <c r="D93" s="596">
        <v>2017</v>
      </c>
      <c r="E93" s="596">
        <v>2018</v>
      </c>
      <c r="F93" s="596">
        <v>2019</v>
      </c>
      <c r="G93" s="596">
        <v>2020</v>
      </c>
      <c r="H93" s="596">
        <v>2021</v>
      </c>
      <c r="I93" s="596">
        <v>2022</v>
      </c>
      <c r="J93" s="596">
        <v>2023</v>
      </c>
      <c r="K93" s="596">
        <v>2024</v>
      </c>
      <c r="L93" s="459"/>
      <c r="M93" s="596" t="s">
        <v>764</v>
      </c>
      <c r="N93" s="596" t="s">
        <v>765</v>
      </c>
      <c r="O93" s="596" t="s">
        <v>766</v>
      </c>
      <c r="P93" s="599" t="s">
        <v>767</v>
      </c>
      <c r="Q93" s="596" t="s">
        <v>768</v>
      </c>
      <c r="R93" s="596" t="s">
        <v>730</v>
      </c>
      <c r="S93" s="596" t="s">
        <v>731</v>
      </c>
      <c r="T93" s="599" t="s">
        <v>732</v>
      </c>
      <c r="U93" s="596" t="s">
        <v>733</v>
      </c>
      <c r="V93" s="596" t="s">
        <v>626</v>
      </c>
      <c r="W93" s="596" t="s">
        <v>620</v>
      </c>
      <c r="X93" s="599" t="s">
        <v>619</v>
      </c>
      <c r="Y93" s="596" t="s">
        <v>614</v>
      </c>
      <c r="Z93" s="596" t="s">
        <v>604</v>
      </c>
      <c r="AA93" s="596" t="s">
        <v>589</v>
      </c>
      <c r="AB93" s="599" t="s">
        <v>587</v>
      </c>
      <c r="AC93" s="596" t="s">
        <v>504</v>
      </c>
      <c r="AD93" s="596" t="s">
        <v>551</v>
      </c>
      <c r="AE93" s="596" t="s">
        <v>532</v>
      </c>
      <c r="AF93" s="599" t="s">
        <v>530</v>
      </c>
      <c r="AG93" s="596" t="s">
        <v>803</v>
      </c>
      <c r="AH93" s="596" t="s">
        <v>812</v>
      </c>
      <c r="AI93" s="596" t="s">
        <v>816</v>
      </c>
      <c r="AJ93" s="599" t="s">
        <v>835</v>
      </c>
      <c r="AK93" s="596" t="s">
        <v>872</v>
      </c>
      <c r="AL93" s="596" t="s">
        <v>986</v>
      </c>
      <c r="AM93" s="596" t="s">
        <v>1016</v>
      </c>
      <c r="AN93" s="599" t="s">
        <v>1039</v>
      </c>
      <c r="AO93" s="596" t="s">
        <v>1076</v>
      </c>
      <c r="AP93" s="596" t="s">
        <v>1285</v>
      </c>
    </row>
    <row r="94" spans="1:42">
      <c r="A94" s="23" t="s">
        <v>106</v>
      </c>
      <c r="B94" s="15">
        <v>0</v>
      </c>
      <c r="C94" s="15">
        <v>8088</v>
      </c>
      <c r="D94" s="15">
        <v>7925</v>
      </c>
      <c r="E94" s="15">
        <v>8738.0039549529993</v>
      </c>
      <c r="F94" s="15">
        <v>9519</v>
      </c>
      <c r="G94" s="15">
        <v>10799</v>
      </c>
      <c r="H94" s="15">
        <v>9024</v>
      </c>
      <c r="I94" s="15">
        <v>10205</v>
      </c>
      <c r="J94" s="15">
        <v>10806</v>
      </c>
      <c r="K94" s="15">
        <v>12723</v>
      </c>
      <c r="M94" s="15">
        <v>2161</v>
      </c>
      <c r="N94" s="15">
        <v>2297</v>
      </c>
      <c r="O94" s="15">
        <v>2141</v>
      </c>
      <c r="P94" s="85">
        <v>2139</v>
      </c>
      <c r="Q94" s="15">
        <v>2245</v>
      </c>
      <c r="R94" s="15">
        <v>2452</v>
      </c>
      <c r="S94" s="15">
        <v>2382</v>
      </c>
      <c r="T94" s="85">
        <v>2440</v>
      </c>
      <c r="U94" s="15">
        <v>2605</v>
      </c>
      <c r="V94" s="15">
        <v>2926</v>
      </c>
      <c r="W94" s="15">
        <v>2765</v>
      </c>
      <c r="X94" s="85">
        <v>2503</v>
      </c>
      <c r="Y94" s="15">
        <v>2505</v>
      </c>
      <c r="Z94" s="15">
        <v>2035</v>
      </c>
      <c r="AA94" s="15">
        <v>2196</v>
      </c>
      <c r="AB94" s="85">
        <v>2287.8856911399998</v>
      </c>
      <c r="AC94" s="15">
        <v>2345</v>
      </c>
      <c r="AD94" s="15">
        <v>2516.6963237712998</v>
      </c>
      <c r="AE94" s="15">
        <v>2699.2938455722001</v>
      </c>
      <c r="AF94" s="85">
        <v>2643.8295383447999</v>
      </c>
      <c r="AG94" s="15">
        <v>2587.5679193008</v>
      </c>
      <c r="AH94" s="15">
        <v>2793.9343391415</v>
      </c>
      <c r="AI94" s="15">
        <v>2711.2016151502003</v>
      </c>
      <c r="AJ94" s="85">
        <v>2713.0829341166</v>
      </c>
      <c r="AK94" s="15">
        <v>3125.4963094281002</v>
      </c>
      <c r="AL94" s="15">
        <v>3417.8026817412001</v>
      </c>
      <c r="AM94" s="15">
        <v>3194.7805751240003</v>
      </c>
      <c r="AN94" s="85">
        <v>2985.0522776819998</v>
      </c>
      <c r="AO94" s="15">
        <v>2948.8386474096001</v>
      </c>
      <c r="AP94" s="15">
        <v>3991.2357640446003</v>
      </c>
    </row>
    <row r="95" spans="1:42">
      <c r="A95" s="19" t="s">
        <v>68</v>
      </c>
      <c r="B95" s="20">
        <v>0</v>
      </c>
      <c r="C95" s="20">
        <v>0.1</v>
      </c>
      <c r="D95" s="20">
        <v>7.5</v>
      </c>
      <c r="E95" s="20">
        <v>7</v>
      </c>
      <c r="F95" s="20">
        <v>-2</v>
      </c>
      <c r="G95" s="20">
        <v>-8</v>
      </c>
      <c r="H95" s="20">
        <v>15</v>
      </c>
      <c r="I95" s="20">
        <v>5</v>
      </c>
      <c r="J95" s="20">
        <v>0</v>
      </c>
      <c r="K95" s="20">
        <v>-6</v>
      </c>
      <c r="M95" s="20">
        <v>7</v>
      </c>
      <c r="N95" s="20">
        <v>4.6389142712498268</v>
      </c>
      <c r="O95" s="20">
        <v>5</v>
      </c>
      <c r="P95" s="83">
        <v>10</v>
      </c>
      <c r="Q95" s="20">
        <v>7</v>
      </c>
      <c r="R95" s="20">
        <v>4</v>
      </c>
      <c r="S95" s="20">
        <v>-3</v>
      </c>
      <c r="T95" s="83">
        <v>-10</v>
      </c>
      <c r="U95" s="20">
        <v>-5</v>
      </c>
      <c r="V95" s="20">
        <v>-22</v>
      </c>
      <c r="W95" s="20">
        <v>-8</v>
      </c>
      <c r="X95" s="83">
        <v>3</v>
      </c>
      <c r="Y95" s="20">
        <v>4</v>
      </c>
      <c r="Z95" s="20">
        <v>31</v>
      </c>
      <c r="AA95" s="20">
        <v>21</v>
      </c>
      <c r="AB95" s="83">
        <v>8</v>
      </c>
      <c r="AC95" s="20">
        <v>10</v>
      </c>
      <c r="AD95" s="20">
        <v>11</v>
      </c>
      <c r="AE95" s="20">
        <v>-1</v>
      </c>
      <c r="AF95" s="83">
        <v>1</v>
      </c>
      <c r="AG95" s="20">
        <v>3</v>
      </c>
      <c r="AH95" s="20">
        <v>0</v>
      </c>
      <c r="AI95" s="20">
        <v>-2</v>
      </c>
      <c r="AJ95" s="83">
        <v>-4</v>
      </c>
      <c r="AK95" s="20">
        <v>-8</v>
      </c>
      <c r="AL95" s="20">
        <v>-10</v>
      </c>
      <c r="AM95" s="20">
        <v>-5</v>
      </c>
      <c r="AN95" s="83">
        <v>-1</v>
      </c>
      <c r="AO95" s="20">
        <v>-3</v>
      </c>
      <c r="AP95" s="20">
        <v>-2</v>
      </c>
    </row>
    <row r="96" spans="1:42">
      <c r="A96" s="19" t="s">
        <v>32</v>
      </c>
      <c r="B96" s="20">
        <v>0</v>
      </c>
      <c r="C96" s="20">
        <v>-2</v>
      </c>
      <c r="D96" s="20">
        <v>1</v>
      </c>
      <c r="E96" s="20">
        <v>1.2720852810985868</v>
      </c>
      <c r="F96" s="20">
        <v>4</v>
      </c>
      <c r="G96" s="20">
        <v>-5.7951892721513465</v>
      </c>
      <c r="H96" s="20">
        <v>-3.808239609149739</v>
      </c>
      <c r="I96" s="20">
        <v>10</v>
      </c>
      <c r="J96" s="20">
        <v>2.1815911345346826</v>
      </c>
      <c r="K96" s="20">
        <v>-1.2039404326909793</v>
      </c>
      <c r="M96" s="20">
        <v>-4</v>
      </c>
      <c r="N96" s="20">
        <v>1.312793017497472</v>
      </c>
      <c r="O96" s="20">
        <v>4.7753367843072176</v>
      </c>
      <c r="P96" s="83">
        <v>3.2741314977066289</v>
      </c>
      <c r="Q96" s="20">
        <v>4.4232591819303417</v>
      </c>
      <c r="R96" s="20">
        <v>2.7004922264149385</v>
      </c>
      <c r="S96" s="20">
        <v>5.2823914191687038</v>
      </c>
      <c r="T96" s="83">
        <v>3</v>
      </c>
      <c r="U96" s="20">
        <v>2</v>
      </c>
      <c r="V96" s="20">
        <v>-3.4118556923882917</v>
      </c>
      <c r="W96" s="20">
        <v>-10.178155734451478</v>
      </c>
      <c r="X96" s="83">
        <v>-11.120625618798369</v>
      </c>
      <c r="Y96" s="20">
        <v>-10.401252522290431</v>
      </c>
      <c r="Z96" s="20">
        <v>-7.1489594763650883</v>
      </c>
      <c r="AA96" s="20">
        <v>0.20056534124088815</v>
      </c>
      <c r="AB96" s="83">
        <v>2.5363935826656232</v>
      </c>
      <c r="AC96" s="20">
        <v>7.5714991627056971</v>
      </c>
      <c r="AD96" s="20">
        <v>10.449371961279097</v>
      </c>
      <c r="AE96" s="20">
        <v>11.537309871892939</v>
      </c>
      <c r="AF96" s="83">
        <v>11.007846718922806</v>
      </c>
      <c r="AG96" s="20">
        <v>5.6670909423442026</v>
      </c>
      <c r="AH96" s="20">
        <v>3.4942066756514309</v>
      </c>
      <c r="AI96" s="20">
        <v>0.96237025580830948</v>
      </c>
      <c r="AJ96" s="83">
        <v>-1.2760162191677464</v>
      </c>
      <c r="AK96" s="20">
        <v>-2.2677132946405254</v>
      </c>
      <c r="AL96" s="20">
        <v>-0.58455104689138448</v>
      </c>
      <c r="AM96" s="20">
        <v>-3.2168065284987888</v>
      </c>
      <c r="AN96" s="83">
        <v>1.3549872653556541</v>
      </c>
      <c r="AO96" s="20">
        <v>-2.6063084552799725E-3</v>
      </c>
      <c r="AP96" s="20">
        <v>-8.3170457790699075</v>
      </c>
    </row>
    <row r="97" spans="1:42">
      <c r="A97" s="19" t="s">
        <v>114</v>
      </c>
      <c r="B97" s="20">
        <v>0</v>
      </c>
      <c r="C97" s="20">
        <v>0</v>
      </c>
      <c r="D97" s="20">
        <v>1.1000000000000001</v>
      </c>
      <c r="E97" s="20">
        <v>0.77557933488787023</v>
      </c>
      <c r="F97" s="20">
        <v>11</v>
      </c>
      <c r="G97" s="20">
        <v>-2.4188141957013194</v>
      </c>
      <c r="H97" s="20">
        <v>1.7790941160263769</v>
      </c>
      <c r="I97" s="20">
        <v>3</v>
      </c>
      <c r="J97" s="20">
        <v>16.197845426965966</v>
      </c>
      <c r="K97" s="20">
        <v>22.439904081225386</v>
      </c>
      <c r="M97" s="20">
        <v>1</v>
      </c>
      <c r="N97" s="20">
        <v>1</v>
      </c>
      <c r="O97" s="20">
        <v>1.004544047992554</v>
      </c>
      <c r="P97" s="83">
        <v>0.59359591281883639</v>
      </c>
      <c r="Q97" s="20">
        <v>5.0423162583518932</v>
      </c>
      <c r="R97" s="20">
        <v>12.361337683523656</v>
      </c>
      <c r="S97" s="20">
        <v>14.298908480268684</v>
      </c>
      <c r="T97" s="83">
        <v>10</v>
      </c>
      <c r="U97" s="20">
        <v>-1</v>
      </c>
      <c r="V97" s="20">
        <v>-4.7805820372184842</v>
      </c>
      <c r="W97" s="20">
        <v>-2.8798025937113896</v>
      </c>
      <c r="X97" s="83">
        <v>-1.1092905072490828</v>
      </c>
      <c r="Y97" s="20">
        <v>0</v>
      </c>
      <c r="Z97" s="20">
        <v>0</v>
      </c>
      <c r="AA97" s="20">
        <v>2.4601411852298307</v>
      </c>
      <c r="AB97" s="83">
        <v>4.6563735202704706</v>
      </c>
      <c r="AC97" s="20">
        <v>4.6350951664387701</v>
      </c>
      <c r="AD97" s="20">
        <v>4.1209188467875135</v>
      </c>
      <c r="AE97" s="20">
        <v>1.3657045060348159</v>
      </c>
      <c r="AF97" s="83">
        <v>1.3633681658034</v>
      </c>
      <c r="AG97" s="20">
        <v>11.753248201998064</v>
      </c>
      <c r="AH97" s="20">
        <v>19.371514482019091</v>
      </c>
      <c r="AI97" s="20">
        <v>18.547848408383345</v>
      </c>
      <c r="AJ97" s="83">
        <v>14.82020319116495</v>
      </c>
      <c r="AK97" s="20">
        <v>4.1197724523968793</v>
      </c>
      <c r="AL97" s="20">
        <v>28.292574644764741</v>
      </c>
      <c r="AM97" s="20">
        <v>27.23495771437538</v>
      </c>
      <c r="AN97" s="83">
        <v>29.788883061217486</v>
      </c>
      <c r="AO97" s="20">
        <v>32.26884335880473</v>
      </c>
      <c r="AP97" s="20">
        <v>1.8201778690763455</v>
      </c>
    </row>
    <row r="98" spans="1:42">
      <c r="A98" s="21" t="s">
        <v>33</v>
      </c>
      <c r="B98" s="44">
        <v>0</v>
      </c>
      <c r="C98" s="44">
        <v>-2</v>
      </c>
      <c r="D98" s="44">
        <v>10</v>
      </c>
      <c r="E98" s="44">
        <v>9</v>
      </c>
      <c r="F98" s="44">
        <v>13</v>
      </c>
      <c r="G98" s="44">
        <v>-16</v>
      </c>
      <c r="H98" s="44">
        <v>13</v>
      </c>
      <c r="I98" s="44">
        <v>18</v>
      </c>
      <c r="J98" s="44">
        <v>18</v>
      </c>
      <c r="K98" s="44">
        <v>15</v>
      </c>
      <c r="M98" s="44">
        <v>4</v>
      </c>
      <c r="N98" s="44">
        <v>7</v>
      </c>
      <c r="O98" s="44">
        <v>11</v>
      </c>
      <c r="P98" s="84">
        <v>14</v>
      </c>
      <c r="Q98" s="44">
        <v>16</v>
      </c>
      <c r="R98" s="44">
        <v>19</v>
      </c>
      <c r="S98" s="44">
        <v>16</v>
      </c>
      <c r="T98" s="84">
        <v>3</v>
      </c>
      <c r="U98" s="44">
        <v>-4</v>
      </c>
      <c r="V98" s="44">
        <v>-30</v>
      </c>
      <c r="W98" s="44">
        <v>-21</v>
      </c>
      <c r="X98" s="84">
        <v>-9</v>
      </c>
      <c r="Y98" s="44">
        <v>-6</v>
      </c>
      <c r="Z98" s="44">
        <v>24</v>
      </c>
      <c r="AA98" s="44">
        <v>23</v>
      </c>
      <c r="AB98" s="84">
        <v>16</v>
      </c>
      <c r="AC98" s="44">
        <v>23</v>
      </c>
      <c r="AD98" s="44">
        <v>25</v>
      </c>
      <c r="AE98" s="44">
        <v>12</v>
      </c>
      <c r="AF98" s="84">
        <v>13</v>
      </c>
      <c r="AG98" s="44">
        <v>21</v>
      </c>
      <c r="AH98" s="44">
        <v>22</v>
      </c>
      <c r="AI98" s="44">
        <v>18</v>
      </c>
      <c r="AJ98" s="84">
        <v>10</v>
      </c>
      <c r="AK98" s="44">
        <v>-6</v>
      </c>
      <c r="AL98" s="44">
        <v>17</v>
      </c>
      <c r="AM98" s="44">
        <v>19</v>
      </c>
      <c r="AN98" s="84">
        <v>30</v>
      </c>
      <c r="AO98" s="44">
        <v>29</v>
      </c>
      <c r="AP98" s="44">
        <v>-8</v>
      </c>
    </row>
    <row r="99" spans="1:42">
      <c r="A99" s="19" t="s">
        <v>107</v>
      </c>
      <c r="B99" s="15">
        <v>8088</v>
      </c>
      <c r="C99" s="15">
        <v>7925</v>
      </c>
      <c r="D99" s="15">
        <v>8738</v>
      </c>
      <c r="E99" s="15">
        <v>9519.4235616708993</v>
      </c>
      <c r="F99" s="15">
        <v>10799</v>
      </c>
      <c r="G99" s="15">
        <v>9024</v>
      </c>
      <c r="H99" s="15">
        <v>10205</v>
      </c>
      <c r="I99" s="15">
        <v>12049</v>
      </c>
      <c r="J99" s="15">
        <v>12723</v>
      </c>
      <c r="K99" s="15">
        <v>14640</v>
      </c>
      <c r="M99" s="15">
        <v>2245</v>
      </c>
      <c r="N99" s="15">
        <v>2452</v>
      </c>
      <c r="O99" s="15">
        <v>2382</v>
      </c>
      <c r="P99" s="85">
        <v>2440</v>
      </c>
      <c r="Q99" s="15">
        <v>2605</v>
      </c>
      <c r="R99" s="15">
        <v>2926</v>
      </c>
      <c r="S99" s="15">
        <v>2765</v>
      </c>
      <c r="T99" s="85">
        <v>2503</v>
      </c>
      <c r="U99" s="15">
        <v>2505</v>
      </c>
      <c r="V99" s="15">
        <v>2035</v>
      </c>
      <c r="W99" s="15">
        <v>2196</v>
      </c>
      <c r="X99" s="85">
        <v>2288</v>
      </c>
      <c r="Y99" s="15">
        <v>2345</v>
      </c>
      <c r="Z99" s="15">
        <v>2517</v>
      </c>
      <c r="AA99" s="15">
        <v>2699</v>
      </c>
      <c r="AB99" s="85">
        <v>2643.8295383448999</v>
      </c>
      <c r="AC99" s="15">
        <v>2877</v>
      </c>
      <c r="AD99" s="15">
        <v>3153.8397801294</v>
      </c>
      <c r="AE99" s="15">
        <v>3034.4216688195997</v>
      </c>
      <c r="AF99" s="85">
        <v>2983.9212121799997</v>
      </c>
      <c r="AG99" s="15">
        <v>3125.4963094281002</v>
      </c>
      <c r="AH99" s="15">
        <v>3417.8026817410996</v>
      </c>
      <c r="AI99" s="15">
        <v>3194.7805751240999</v>
      </c>
      <c r="AJ99" s="85">
        <v>2985.0522776819003</v>
      </c>
      <c r="AK99" s="15">
        <v>2948.8386474096001</v>
      </c>
      <c r="AL99" s="15">
        <v>3991.2357640446003</v>
      </c>
      <c r="AM99" s="15">
        <v>3809.3538564464998</v>
      </c>
      <c r="AN99" s="85">
        <v>3890.3580650733998</v>
      </c>
      <c r="AO99" s="15">
        <v>3810.9029369288</v>
      </c>
      <c r="AP99" s="15">
        <v>3664.9993624146</v>
      </c>
    </row>
    <row r="100" spans="1:42">
      <c r="O100" s="43"/>
    </row>
  </sheetData>
  <hyperlinks>
    <hyperlink ref="A2" location="'START PAGE'!A1" display="Back to start page" xr:uid="{00000000-0004-0000-0700-000000000000}"/>
  </hyperlinks>
  <pageMargins left="0.7" right="0.7" top="0.75" bottom="0.75" header="0.3" footer="0.3"/>
  <pageSetup paperSize="9" scale="87" fitToHeight="2"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D00"/>
    <pageSetUpPr fitToPage="1"/>
  </sheetPr>
  <dimension ref="A1:CB61"/>
  <sheetViews>
    <sheetView showGridLines="0" zoomScale="90" zoomScaleNormal="90" workbookViewId="0">
      <pane xSplit="1" ySplit="4" topLeftCell="B5" activePane="bottomRight" state="frozen"/>
      <selection activeCell="C75" sqref="C75"/>
      <selection pane="topRight" activeCell="C75" sqref="C75"/>
      <selection pane="bottomLeft" activeCell="C75" sqref="C75"/>
      <selection pane="bottomRight" activeCell="B5" sqref="B5"/>
    </sheetView>
  </sheetViews>
  <sheetFormatPr defaultColWidth="9" defaultRowHeight="10"/>
  <cols>
    <col min="1" max="1" width="20.58203125" style="64" customWidth="1"/>
    <col min="2" max="2" width="6.08203125" style="41" bestFit="1" customWidth="1"/>
    <col min="3" max="3" width="7.08203125" style="41" bestFit="1" customWidth="1"/>
    <col min="4" max="4" width="4.58203125" style="41" bestFit="1" customWidth="1"/>
    <col min="5" max="5" width="7.08203125" style="41" bestFit="1" customWidth="1"/>
    <col min="6" max="6" width="4.58203125" style="41" bestFit="1" customWidth="1"/>
    <col min="7" max="7" width="7.08203125" style="41" bestFit="1" customWidth="1"/>
    <col min="8" max="8" width="4.58203125" style="41" bestFit="1" customWidth="1"/>
    <col min="9" max="9" width="7.08203125" style="41" bestFit="1" customWidth="1"/>
    <col min="10" max="10" width="4.58203125" style="41" bestFit="1" customWidth="1"/>
    <col min="11" max="11" width="7.08203125" style="41" bestFit="1" customWidth="1"/>
    <col min="12" max="12" width="4.58203125" style="41" bestFit="1" customWidth="1"/>
    <col min="13" max="13" width="7.08203125" style="41" bestFit="1" customWidth="1"/>
    <col min="14" max="14" width="5.08203125" style="41" bestFit="1" customWidth="1"/>
    <col min="15" max="15" width="7.08203125" style="41" bestFit="1" customWidth="1"/>
    <col min="16" max="16" width="5.08203125" style="41" bestFit="1" customWidth="1"/>
    <col min="17" max="17" width="7.08203125" style="41" bestFit="1" customWidth="1"/>
    <col min="18" max="18" width="5.08203125" style="41" bestFit="1" customWidth="1"/>
    <col min="19" max="19" width="7.08203125" style="41" bestFit="1" customWidth="1"/>
    <col min="20" max="20" width="3.58203125" style="41" customWidth="1"/>
    <col min="21" max="21" width="8" style="41" bestFit="1" customWidth="1"/>
    <col min="22" max="22" width="7.08203125" style="41" bestFit="1" customWidth="1"/>
    <col min="23" max="23" width="4.58203125" style="41" bestFit="1" customWidth="1"/>
    <col min="24" max="24" width="7.08203125" style="41" bestFit="1" customWidth="1"/>
    <col min="25" max="25" width="4.58203125" style="41" bestFit="1" customWidth="1"/>
    <col min="26" max="26" width="7.08203125" style="41" bestFit="1" customWidth="1"/>
    <col min="27" max="27" width="4.58203125" style="41" bestFit="1" customWidth="1"/>
    <col min="28" max="28" width="7.08203125" style="133" bestFit="1" customWidth="1"/>
    <col min="29" max="29" width="8" style="41" bestFit="1" customWidth="1"/>
    <col min="30" max="30" width="7.08203125" style="41" bestFit="1" customWidth="1"/>
    <col min="31" max="31" width="4.58203125" style="41" bestFit="1" customWidth="1"/>
    <col min="32" max="32" width="7.08203125" style="41" bestFit="1" customWidth="1"/>
    <col min="33" max="33" width="4.58203125" style="41" bestFit="1" customWidth="1"/>
    <col min="34" max="34" width="7.08203125" style="41" bestFit="1" customWidth="1"/>
    <col min="35" max="35" width="4.58203125" style="41" bestFit="1" customWidth="1"/>
    <col min="36" max="36" width="7.08203125" style="133" bestFit="1" customWidth="1"/>
    <col min="37" max="37" width="4.58203125" style="41" bestFit="1" customWidth="1"/>
    <col min="38" max="38" width="7.08203125" style="41" bestFit="1" customWidth="1"/>
    <col min="39" max="39" width="4.58203125" style="41" bestFit="1" customWidth="1"/>
    <col min="40" max="40" width="7.08203125" style="41" bestFit="1" customWidth="1"/>
    <col min="41" max="41" width="4.58203125" style="41" bestFit="1" customWidth="1"/>
    <col min="42" max="42" width="7.08203125" style="41" bestFit="1" customWidth="1"/>
    <col min="43" max="43" width="4.58203125" style="41" bestFit="1" customWidth="1"/>
    <col min="44" max="44" width="7.08203125" style="133" bestFit="1" customWidth="1"/>
    <col min="45" max="45" width="4.58203125" style="41" bestFit="1" customWidth="1"/>
    <col min="46" max="46" width="7.08203125" style="41" bestFit="1" customWidth="1"/>
    <col min="47" max="47" width="4.58203125" style="41" bestFit="1" customWidth="1"/>
    <col min="48" max="48" width="7.08203125" style="41" bestFit="1" customWidth="1"/>
    <col min="49" max="49" width="4.58203125" style="41" bestFit="1" customWidth="1"/>
    <col min="50" max="50" width="7.08203125" style="41" bestFit="1" customWidth="1"/>
    <col min="51" max="51" width="4.58203125" style="41" bestFit="1" customWidth="1"/>
    <col min="52" max="52" width="7.08203125" style="133" bestFit="1" customWidth="1"/>
    <col min="53" max="53" width="4.58203125" style="41" bestFit="1" customWidth="1"/>
    <col min="54" max="54" width="7.08203125" style="41" bestFit="1" customWidth="1"/>
    <col min="55" max="55" width="4.58203125" style="41" bestFit="1" customWidth="1"/>
    <col min="56" max="56" width="7.08203125" style="41" bestFit="1" customWidth="1"/>
    <col min="57" max="57" width="4.58203125" style="41" bestFit="1" customWidth="1"/>
    <col min="58" max="58" width="7.08203125" style="41" bestFit="1" customWidth="1"/>
    <col min="59" max="59" width="4.58203125" style="41" bestFit="1" customWidth="1"/>
    <col min="60" max="60" width="7.08203125" style="133" bestFit="1" customWidth="1"/>
    <col min="61" max="61" width="4.58203125" style="41" bestFit="1" customWidth="1"/>
    <col min="62" max="62" width="7.08203125" style="41" bestFit="1" customWidth="1"/>
    <col min="63" max="63" width="4.58203125" style="41" bestFit="1" customWidth="1"/>
    <col min="64" max="64" width="7.08203125" style="41" bestFit="1" customWidth="1"/>
    <col min="65" max="65" width="4.58203125" style="41" bestFit="1" customWidth="1"/>
    <col min="66" max="66" width="7.08203125" style="41" bestFit="1" customWidth="1"/>
    <col min="67" max="67" width="4.58203125" style="41" bestFit="1" customWidth="1"/>
    <col min="68" max="68" width="7.08203125" style="133" bestFit="1" customWidth="1"/>
    <col min="69" max="69" width="4.58203125" style="41" bestFit="1" customWidth="1"/>
    <col min="70" max="70" width="7.08203125" style="41" bestFit="1" customWidth="1"/>
    <col min="71" max="71" width="4.58203125" style="41" bestFit="1" customWidth="1"/>
    <col min="72" max="72" width="7.08203125" style="41" bestFit="1" customWidth="1"/>
    <col min="73" max="73" width="4.58203125" style="41" bestFit="1" customWidth="1"/>
    <col min="74" max="74" width="7.08203125" style="41" bestFit="1" customWidth="1"/>
    <col min="75" max="75" width="4.58203125" style="41" bestFit="1" customWidth="1"/>
    <col min="76" max="76" width="7.08203125" style="133" bestFit="1" customWidth="1"/>
    <col min="77" max="77" width="4.58203125" style="41" bestFit="1" customWidth="1"/>
    <col min="78" max="78" width="7.08203125" style="41" bestFit="1" customWidth="1"/>
    <col min="79" max="79" width="4.58203125" style="41" bestFit="1" customWidth="1"/>
    <col min="80" max="80" width="7.08203125" style="41" bestFit="1" customWidth="1"/>
    <col min="81" max="16384" width="9" style="41"/>
  </cols>
  <sheetData>
    <row r="1" spans="1:80" ht="16" thickBot="1">
      <c r="A1" s="59" t="s">
        <v>195</v>
      </c>
      <c r="B1" s="69" t="s">
        <v>222</v>
      </c>
      <c r="C1" s="50"/>
      <c r="D1" s="50"/>
      <c r="E1" s="50"/>
      <c r="F1" s="50"/>
      <c r="G1" s="50"/>
      <c r="H1" s="50"/>
      <c r="I1" s="50"/>
      <c r="J1" s="50"/>
      <c r="K1" s="50"/>
      <c r="L1" s="50"/>
      <c r="M1" s="50"/>
      <c r="N1" s="50"/>
      <c r="O1" s="50"/>
      <c r="P1" s="50"/>
      <c r="Q1" s="50"/>
      <c r="R1" s="50"/>
      <c r="S1" s="50"/>
      <c r="U1" s="69" t="s">
        <v>221</v>
      </c>
      <c r="V1" s="50"/>
      <c r="W1" s="50"/>
      <c r="X1" s="50"/>
      <c r="Y1" s="50"/>
      <c r="Z1" s="50"/>
      <c r="AA1" s="50"/>
      <c r="AB1" s="70"/>
      <c r="AC1" s="69"/>
      <c r="AD1" s="50"/>
      <c r="AE1" s="50"/>
      <c r="AF1" s="50"/>
      <c r="AG1" s="50"/>
      <c r="AH1" s="50"/>
      <c r="AI1" s="50"/>
      <c r="AJ1" s="70"/>
      <c r="AK1" s="69"/>
      <c r="AL1" s="50"/>
      <c r="AM1" s="50"/>
      <c r="AN1" s="50"/>
      <c r="AO1" s="50"/>
      <c r="AP1" s="50"/>
      <c r="AQ1" s="50"/>
      <c r="AR1" s="70"/>
      <c r="AS1" s="69"/>
      <c r="AT1" s="50"/>
      <c r="AU1" s="50"/>
      <c r="AV1" s="50"/>
      <c r="AW1" s="50"/>
      <c r="AX1" s="50"/>
      <c r="AY1" s="50"/>
      <c r="AZ1" s="70"/>
      <c r="BA1" s="69"/>
      <c r="BB1" s="50"/>
      <c r="BC1" s="50"/>
      <c r="BD1" s="50"/>
      <c r="BE1" s="50"/>
      <c r="BF1" s="50"/>
      <c r="BG1" s="50"/>
      <c r="BH1" s="70"/>
      <c r="BI1" s="69"/>
      <c r="BJ1" s="50"/>
      <c r="BK1" s="50"/>
      <c r="BL1" s="50"/>
      <c r="BM1" s="50"/>
      <c r="BN1" s="50"/>
      <c r="BO1" s="50"/>
      <c r="BP1" s="70"/>
      <c r="BQ1" s="69"/>
      <c r="BR1" s="50"/>
      <c r="BS1" s="50"/>
      <c r="BT1" s="50"/>
      <c r="BU1" s="50"/>
      <c r="BV1" s="50"/>
      <c r="BW1" s="50"/>
      <c r="BX1" s="70"/>
      <c r="BY1" s="69"/>
      <c r="BZ1" s="50"/>
      <c r="CA1" s="50"/>
      <c r="CB1" s="50"/>
    </row>
    <row r="2" spans="1:80" ht="11" thickTop="1" thickBot="1">
      <c r="A2" s="823" t="s">
        <v>198</v>
      </c>
    </row>
    <row r="3" spans="1:80" ht="12" thickTop="1">
      <c r="A3" s="65" t="s">
        <v>6</v>
      </c>
      <c r="B3" s="1087" t="s">
        <v>102</v>
      </c>
      <c r="C3" s="1087"/>
      <c r="D3" s="1087" t="s">
        <v>103</v>
      </c>
      <c r="E3" s="1087"/>
      <c r="F3" s="1087" t="s">
        <v>168</v>
      </c>
      <c r="G3" s="1087"/>
      <c r="H3" s="1087" t="s">
        <v>218</v>
      </c>
      <c r="I3" s="1087"/>
      <c r="J3" s="1087" t="s">
        <v>259</v>
      </c>
      <c r="K3" s="1087"/>
      <c r="L3" s="1087" t="s">
        <v>398</v>
      </c>
      <c r="M3" s="1087"/>
      <c r="N3" s="1087" t="s">
        <v>485</v>
      </c>
      <c r="O3" s="1087"/>
      <c r="P3" s="1087" t="s">
        <v>837</v>
      </c>
      <c r="Q3" s="1087"/>
      <c r="R3" s="1087" t="s">
        <v>1041</v>
      </c>
      <c r="S3" s="1087"/>
      <c r="T3" s="409"/>
      <c r="U3" s="1087" t="s">
        <v>95</v>
      </c>
      <c r="V3" s="1087"/>
      <c r="W3" s="1087" t="s">
        <v>115</v>
      </c>
      <c r="X3" s="1087"/>
      <c r="Y3" s="1087" t="s">
        <v>120</v>
      </c>
      <c r="Z3" s="1087"/>
      <c r="AA3" s="1087" t="s">
        <v>169</v>
      </c>
      <c r="AB3" s="1091"/>
      <c r="AC3" s="1087" t="s">
        <v>170</v>
      </c>
      <c r="AD3" s="1087"/>
      <c r="AE3" s="1087" t="s">
        <v>187</v>
      </c>
      <c r="AF3" s="1087"/>
      <c r="AG3" s="1087" t="s">
        <v>200</v>
      </c>
      <c r="AH3" s="1087"/>
      <c r="AI3" s="1087" t="s">
        <v>214</v>
      </c>
      <c r="AJ3" s="1091"/>
      <c r="AK3" s="1087" t="s">
        <v>219</v>
      </c>
      <c r="AL3" s="1087"/>
      <c r="AM3" s="1087" t="s">
        <v>226</v>
      </c>
      <c r="AN3" s="1087"/>
      <c r="AO3" s="1088" t="s">
        <v>256</v>
      </c>
      <c r="AP3" s="1088"/>
      <c r="AQ3" s="1088" t="s">
        <v>260</v>
      </c>
      <c r="AR3" s="1089"/>
      <c r="AS3" s="1087" t="s">
        <v>355</v>
      </c>
      <c r="AT3" s="1087"/>
      <c r="AU3" s="1087" t="s">
        <v>362</v>
      </c>
      <c r="AV3" s="1087"/>
      <c r="AW3" s="1087" t="s">
        <v>393</v>
      </c>
      <c r="AX3" s="1087"/>
      <c r="AY3" s="1088" t="s">
        <v>397</v>
      </c>
      <c r="AZ3" s="1089"/>
      <c r="BA3" s="1090" t="s">
        <v>452</v>
      </c>
      <c r="BB3" s="1090"/>
      <c r="BC3" s="1087" t="s">
        <v>458</v>
      </c>
      <c r="BD3" s="1087"/>
      <c r="BE3" s="1087" t="s">
        <v>461</v>
      </c>
      <c r="BF3" s="1087"/>
      <c r="BG3" s="1088" t="s">
        <v>484</v>
      </c>
      <c r="BH3" s="1089"/>
      <c r="BI3" s="1090" t="s">
        <v>804</v>
      </c>
      <c r="BJ3" s="1090"/>
      <c r="BK3" s="1087" t="s">
        <v>815</v>
      </c>
      <c r="BL3" s="1087"/>
      <c r="BM3" s="1087" t="s">
        <v>817</v>
      </c>
      <c r="BN3" s="1087"/>
      <c r="BO3" s="1088" t="s">
        <v>836</v>
      </c>
      <c r="BP3" s="1089"/>
      <c r="BQ3" s="1090" t="s">
        <v>873</v>
      </c>
      <c r="BR3" s="1090"/>
      <c r="BS3" s="1087" t="s">
        <v>987</v>
      </c>
      <c r="BT3" s="1087"/>
      <c r="BU3" s="1087" t="s">
        <v>1034</v>
      </c>
      <c r="BV3" s="1087"/>
      <c r="BW3" s="1088" t="s">
        <v>1040</v>
      </c>
      <c r="BX3" s="1089"/>
      <c r="BY3" s="1090" t="s">
        <v>1263</v>
      </c>
      <c r="BZ3" s="1090"/>
      <c r="CA3" s="1087" t="s">
        <v>1286</v>
      </c>
      <c r="CB3" s="1087"/>
    </row>
    <row r="4" spans="1:80" ht="10.5">
      <c r="A4" s="18" t="s">
        <v>35</v>
      </c>
      <c r="B4" s="134" t="s">
        <v>207</v>
      </c>
      <c r="C4" s="134" t="s">
        <v>108</v>
      </c>
      <c r="D4" s="134" t="s">
        <v>207</v>
      </c>
      <c r="E4" s="134" t="s">
        <v>108</v>
      </c>
      <c r="F4" s="134" t="s">
        <v>207</v>
      </c>
      <c r="G4" s="134" t="s">
        <v>108</v>
      </c>
      <c r="H4" s="134" t="s">
        <v>207</v>
      </c>
      <c r="I4" s="134" t="s">
        <v>108</v>
      </c>
      <c r="J4" s="134" t="s">
        <v>207</v>
      </c>
      <c r="K4" s="134" t="s">
        <v>108</v>
      </c>
      <c r="L4" s="134" t="s">
        <v>207</v>
      </c>
      <c r="M4" s="134" t="s">
        <v>108</v>
      </c>
      <c r="N4" s="134" t="s">
        <v>207</v>
      </c>
      <c r="O4" s="134" t="s">
        <v>108</v>
      </c>
      <c r="P4" s="134" t="s">
        <v>207</v>
      </c>
      <c r="Q4" s="134" t="s">
        <v>108</v>
      </c>
      <c r="R4" s="134" t="s">
        <v>207</v>
      </c>
      <c r="S4" s="134" t="s">
        <v>108</v>
      </c>
      <c r="U4" s="134" t="s">
        <v>207</v>
      </c>
      <c r="V4" s="134" t="s">
        <v>108</v>
      </c>
      <c r="W4" s="134" t="s">
        <v>207</v>
      </c>
      <c r="X4" s="134" t="s">
        <v>108</v>
      </c>
      <c r="Y4" s="134" t="s">
        <v>207</v>
      </c>
      <c r="Z4" s="134" t="s">
        <v>108</v>
      </c>
      <c r="AA4" s="134" t="s">
        <v>207</v>
      </c>
      <c r="AB4" s="135" t="s">
        <v>108</v>
      </c>
      <c r="AC4" s="134" t="s">
        <v>207</v>
      </c>
      <c r="AD4" s="134" t="s">
        <v>108</v>
      </c>
      <c r="AE4" s="134" t="s">
        <v>207</v>
      </c>
      <c r="AF4" s="134" t="s">
        <v>108</v>
      </c>
      <c r="AG4" s="134" t="s">
        <v>207</v>
      </c>
      <c r="AH4" s="134" t="s">
        <v>108</v>
      </c>
      <c r="AI4" s="134" t="s">
        <v>207</v>
      </c>
      <c r="AJ4" s="135" t="s">
        <v>108</v>
      </c>
      <c r="AK4" s="134" t="s">
        <v>207</v>
      </c>
      <c r="AL4" s="134" t="s">
        <v>108</v>
      </c>
      <c r="AM4" s="134" t="s">
        <v>207</v>
      </c>
      <c r="AN4" s="134" t="s">
        <v>108</v>
      </c>
      <c r="AO4" s="134" t="s">
        <v>207</v>
      </c>
      <c r="AP4" s="134" t="s">
        <v>108</v>
      </c>
      <c r="AQ4" s="134" t="s">
        <v>207</v>
      </c>
      <c r="AR4" s="135" t="s">
        <v>108</v>
      </c>
      <c r="AS4" s="134" t="s">
        <v>207</v>
      </c>
      <c r="AT4" s="134" t="s">
        <v>108</v>
      </c>
      <c r="AU4" s="134" t="s">
        <v>207</v>
      </c>
      <c r="AV4" s="134" t="s">
        <v>108</v>
      </c>
      <c r="AW4" s="134" t="s">
        <v>207</v>
      </c>
      <c r="AX4" s="134" t="s">
        <v>108</v>
      </c>
      <c r="AY4" s="134" t="s">
        <v>207</v>
      </c>
      <c r="AZ4" s="135" t="s">
        <v>108</v>
      </c>
      <c r="BA4" s="134" t="s">
        <v>207</v>
      </c>
      <c r="BB4" s="134" t="s">
        <v>108</v>
      </c>
      <c r="BC4" s="134" t="s">
        <v>207</v>
      </c>
      <c r="BD4" s="134" t="s">
        <v>108</v>
      </c>
      <c r="BE4" s="134" t="s">
        <v>207</v>
      </c>
      <c r="BF4" s="134" t="s">
        <v>108</v>
      </c>
      <c r="BG4" s="134" t="s">
        <v>207</v>
      </c>
      <c r="BH4" s="135" t="s">
        <v>108</v>
      </c>
      <c r="BI4" s="134" t="s">
        <v>207</v>
      </c>
      <c r="BJ4" s="134" t="s">
        <v>108</v>
      </c>
      <c r="BK4" s="134" t="s">
        <v>207</v>
      </c>
      <c r="BL4" s="134" t="s">
        <v>108</v>
      </c>
      <c r="BM4" s="134" t="s">
        <v>207</v>
      </c>
      <c r="BN4" s="134" t="s">
        <v>108</v>
      </c>
      <c r="BO4" s="134" t="s">
        <v>207</v>
      </c>
      <c r="BP4" s="135" t="s">
        <v>108</v>
      </c>
      <c r="BQ4" s="134" t="s">
        <v>207</v>
      </c>
      <c r="BR4" s="134" t="s">
        <v>108</v>
      </c>
      <c r="BS4" s="134" t="s">
        <v>207</v>
      </c>
      <c r="BT4" s="134" t="s">
        <v>108</v>
      </c>
      <c r="BU4" s="134" t="s">
        <v>207</v>
      </c>
      <c r="BV4" s="134" t="s">
        <v>108</v>
      </c>
      <c r="BW4" s="134" t="s">
        <v>207</v>
      </c>
      <c r="BX4" s="135" t="s">
        <v>108</v>
      </c>
      <c r="BY4" s="134" t="s">
        <v>207</v>
      </c>
      <c r="BZ4" s="134" t="s">
        <v>108</v>
      </c>
      <c r="CA4" s="134" t="s">
        <v>207</v>
      </c>
      <c r="CB4" s="134" t="s">
        <v>108</v>
      </c>
    </row>
    <row r="5" spans="1:80">
      <c r="A5" s="23" t="s">
        <v>106</v>
      </c>
      <c r="B5" s="136">
        <v>5175</v>
      </c>
      <c r="C5" s="137">
        <v>18.100000000000001</v>
      </c>
      <c r="D5" s="136">
        <v>4548</v>
      </c>
      <c r="E5" s="137">
        <v>16.782080000000001</v>
      </c>
      <c r="F5" s="136">
        <v>5930</v>
      </c>
      <c r="G5" s="137">
        <v>18.899999999999999</v>
      </c>
      <c r="H5" s="136">
        <v>7385</v>
      </c>
      <c r="I5" s="137">
        <v>19.3</v>
      </c>
      <c r="J5" s="136">
        <v>8136</v>
      </c>
      <c r="K5" s="137">
        <v>19.900000000000002</v>
      </c>
      <c r="L5" s="136">
        <v>7382</v>
      </c>
      <c r="M5" s="137">
        <v>20.399999999999999</v>
      </c>
      <c r="N5" s="136">
        <v>8995</v>
      </c>
      <c r="O5" s="137">
        <v>22.7</v>
      </c>
      <c r="P5" s="136">
        <v>11147</v>
      </c>
      <c r="Q5" s="137">
        <v>22.400000000000002</v>
      </c>
      <c r="R5" s="136">
        <v>13183</v>
      </c>
      <c r="S5" s="137">
        <v>21.8</v>
      </c>
      <c r="U5" s="136">
        <v>1414</v>
      </c>
      <c r="V5" s="137">
        <v>19.100000000000001</v>
      </c>
      <c r="W5" s="136">
        <v>1468</v>
      </c>
      <c r="X5" s="137">
        <v>18.600000000000001</v>
      </c>
      <c r="Y5" s="136">
        <v>1520</v>
      </c>
      <c r="Z5" s="137">
        <v>20</v>
      </c>
      <c r="AA5" s="136">
        <v>1528</v>
      </c>
      <c r="AB5" s="138">
        <v>18.099999999999998</v>
      </c>
      <c r="AC5" s="136">
        <v>1515</v>
      </c>
      <c r="AD5" s="137">
        <v>18.399999999999999</v>
      </c>
      <c r="AE5" s="136">
        <v>1810</v>
      </c>
      <c r="AF5" s="137">
        <v>18.399999999999999</v>
      </c>
      <c r="AG5" s="136">
        <v>1898</v>
      </c>
      <c r="AH5" s="137">
        <v>19.7</v>
      </c>
      <c r="AI5" s="136">
        <v>2162</v>
      </c>
      <c r="AJ5" s="138">
        <v>20.5</v>
      </c>
      <c r="AK5" s="136">
        <v>1930</v>
      </c>
      <c r="AL5" s="137">
        <v>19.7</v>
      </c>
      <c r="AM5" s="136">
        <v>2263</v>
      </c>
      <c r="AN5" s="137">
        <v>21.3</v>
      </c>
      <c r="AO5" s="136">
        <v>1927</v>
      </c>
      <c r="AP5" s="137">
        <v>19</v>
      </c>
      <c r="AQ5" s="136">
        <v>2016</v>
      </c>
      <c r="AR5" s="138">
        <v>19.600000000000001</v>
      </c>
      <c r="AS5" s="136">
        <v>1932</v>
      </c>
      <c r="AT5" s="137">
        <v>21.2</v>
      </c>
      <c r="AU5" s="136">
        <v>1418</v>
      </c>
      <c r="AV5" s="137">
        <v>16.8</v>
      </c>
      <c r="AW5" s="136">
        <v>1820</v>
      </c>
      <c r="AX5" s="137">
        <v>20.9</v>
      </c>
      <c r="AY5" s="136">
        <v>2212</v>
      </c>
      <c r="AZ5" s="138">
        <v>22.6</v>
      </c>
      <c r="BA5" s="136">
        <v>1867</v>
      </c>
      <c r="BB5" s="137">
        <v>21.3</v>
      </c>
      <c r="BC5" s="136">
        <v>2182</v>
      </c>
      <c r="BD5" s="137">
        <v>22.400000000000002</v>
      </c>
      <c r="BE5" s="136">
        <v>2352</v>
      </c>
      <c r="BF5" s="137">
        <v>23.599999999999998</v>
      </c>
      <c r="BG5" s="136">
        <v>2594</v>
      </c>
      <c r="BH5" s="138">
        <v>23.200000000000003</v>
      </c>
      <c r="BI5" s="136">
        <v>2631</v>
      </c>
      <c r="BJ5" s="137">
        <v>23.7</v>
      </c>
      <c r="BK5" s="136">
        <v>2381</v>
      </c>
      <c r="BL5" s="137">
        <v>20.100000000000001</v>
      </c>
      <c r="BM5" s="136">
        <v>2900</v>
      </c>
      <c r="BN5" s="137">
        <v>22.7</v>
      </c>
      <c r="BO5" s="136">
        <v>3235</v>
      </c>
      <c r="BP5" s="138">
        <v>23.200000000000003</v>
      </c>
      <c r="BQ5" s="136">
        <v>3161</v>
      </c>
      <c r="BR5" s="137">
        <v>22.8</v>
      </c>
      <c r="BS5" s="136">
        <v>3413</v>
      </c>
      <c r="BT5" s="137">
        <v>21.5</v>
      </c>
      <c r="BU5" s="136">
        <v>3260</v>
      </c>
      <c r="BV5" s="137">
        <v>21.7</v>
      </c>
      <c r="BW5" s="136">
        <v>3349</v>
      </c>
      <c r="BX5" s="138">
        <v>21.5</v>
      </c>
      <c r="BY5" s="136">
        <v>2760</v>
      </c>
      <c r="BZ5" s="137">
        <v>19.5</v>
      </c>
      <c r="CA5" s="136">
        <v>2921</v>
      </c>
      <c r="CB5" s="137">
        <v>17.7</v>
      </c>
    </row>
    <row r="6" spans="1:80">
      <c r="A6" s="19" t="s">
        <v>68</v>
      </c>
      <c r="B6" s="139"/>
      <c r="C6" s="139">
        <v>-0.8</v>
      </c>
      <c r="D6" s="136"/>
      <c r="E6" s="139">
        <v>1.6</v>
      </c>
      <c r="F6" s="136">
        <v>1500</v>
      </c>
      <c r="G6" s="139">
        <v>1.0999999999999999</v>
      </c>
      <c r="H6" s="136">
        <v>164</v>
      </c>
      <c r="I6" s="139">
        <v>0.3</v>
      </c>
      <c r="J6" s="136">
        <v>-651</v>
      </c>
      <c r="K6" s="139">
        <v>-0.8</v>
      </c>
      <c r="L6" s="136">
        <v>1899</v>
      </c>
      <c r="M6" s="139">
        <v>2.6</v>
      </c>
      <c r="N6" s="136">
        <v>1932</v>
      </c>
      <c r="O6" s="139">
        <v>2</v>
      </c>
      <c r="P6" s="136">
        <v>394</v>
      </c>
      <c r="Q6" s="139">
        <v>-1</v>
      </c>
      <c r="R6" s="136">
        <v>-988</v>
      </c>
      <c r="S6" s="139">
        <v>-1.9</v>
      </c>
      <c r="U6" s="136">
        <v>245</v>
      </c>
      <c r="V6" s="139">
        <v>0.8</v>
      </c>
      <c r="W6" s="136">
        <v>539</v>
      </c>
      <c r="X6" s="139">
        <v>2.2000000000000002</v>
      </c>
      <c r="Y6" s="136">
        <v>309</v>
      </c>
      <c r="Z6" s="139">
        <v>0.2</v>
      </c>
      <c r="AA6" s="136">
        <v>407</v>
      </c>
      <c r="AB6" s="140">
        <v>1</v>
      </c>
      <c r="AC6" s="136">
        <v>188</v>
      </c>
      <c r="AD6" s="139">
        <v>-0.2</v>
      </c>
      <c r="AE6" s="136">
        <v>144</v>
      </c>
      <c r="AF6" s="139">
        <v>0.8</v>
      </c>
      <c r="AG6" s="136">
        <v>3</v>
      </c>
      <c r="AH6" s="139">
        <v>0.70000000000000007</v>
      </c>
      <c r="AI6" s="136">
        <v>-172</v>
      </c>
      <c r="AJ6" s="140">
        <v>-0.3</v>
      </c>
      <c r="AK6" s="136">
        <v>-222</v>
      </c>
      <c r="AL6" s="139">
        <v>-0.9</v>
      </c>
      <c r="AM6" s="136">
        <v>-635</v>
      </c>
      <c r="AN6" s="139">
        <v>-3.5000000000000004</v>
      </c>
      <c r="AO6" s="136">
        <v>-230</v>
      </c>
      <c r="AP6" s="139">
        <v>-2.2999999999999998</v>
      </c>
      <c r="AQ6" s="136">
        <v>436</v>
      </c>
      <c r="AR6" s="140">
        <v>3.1</v>
      </c>
      <c r="AS6" s="136">
        <v>307</v>
      </c>
      <c r="AT6" s="139">
        <v>2.1999999999999997</v>
      </c>
      <c r="AU6" s="136">
        <v>766</v>
      </c>
      <c r="AV6" s="139">
        <v>4.3999999999999995</v>
      </c>
      <c r="AW6" s="136">
        <v>620</v>
      </c>
      <c r="AX6" s="139">
        <v>4.1000000000000005</v>
      </c>
      <c r="AY6" s="136">
        <v>206</v>
      </c>
      <c r="AZ6" s="140">
        <v>0.1</v>
      </c>
      <c r="BA6" s="136">
        <v>443</v>
      </c>
      <c r="BB6" s="139">
        <v>1.6</v>
      </c>
      <c r="BC6" s="136">
        <v>445</v>
      </c>
      <c r="BD6" s="139">
        <v>2.4</v>
      </c>
      <c r="BE6" s="136">
        <v>501</v>
      </c>
      <c r="BF6" s="139">
        <v>1.6</v>
      </c>
      <c r="BG6" s="136">
        <v>545</v>
      </c>
      <c r="BH6" s="140">
        <v>2.5</v>
      </c>
      <c r="BI6" s="136">
        <v>321</v>
      </c>
      <c r="BJ6" s="139">
        <v>0.8</v>
      </c>
      <c r="BK6" s="136">
        <v>695</v>
      </c>
      <c r="BL6" s="139">
        <v>2.4</v>
      </c>
      <c r="BM6" s="136">
        <v>-173</v>
      </c>
      <c r="BN6" s="139">
        <v>-2.5</v>
      </c>
      <c r="BO6" s="136">
        <v>-449</v>
      </c>
      <c r="BP6" s="140">
        <v>-4.3999999999999995</v>
      </c>
      <c r="BQ6" s="136">
        <v>-362</v>
      </c>
      <c r="BR6" s="139">
        <v>-3.3000000000000003</v>
      </c>
      <c r="BS6" s="136">
        <v>-631</v>
      </c>
      <c r="BT6" s="139">
        <v>-3.5999999999999996</v>
      </c>
      <c r="BU6" s="136">
        <v>-130</v>
      </c>
      <c r="BV6" s="139">
        <v>-1.3</v>
      </c>
      <c r="BW6" s="136">
        <v>138</v>
      </c>
      <c r="BX6" s="140">
        <v>0</v>
      </c>
      <c r="BY6" s="136">
        <v>-97</v>
      </c>
      <c r="BZ6" s="139">
        <v>-1.3</v>
      </c>
      <c r="CA6" s="136">
        <v>-4</v>
      </c>
      <c r="CB6" s="139">
        <v>-0.1</v>
      </c>
    </row>
    <row r="7" spans="1:80">
      <c r="A7" s="19" t="s">
        <v>32</v>
      </c>
      <c r="B7" s="139"/>
      <c r="C7" s="139">
        <v>-0.47240000000000126</v>
      </c>
      <c r="D7" s="136"/>
      <c r="E7" s="139">
        <v>0.62356000000000211</v>
      </c>
      <c r="F7" s="136">
        <v>132</v>
      </c>
      <c r="G7" s="139">
        <v>0.2</v>
      </c>
      <c r="H7" s="136">
        <v>657</v>
      </c>
      <c r="I7" s="139">
        <v>0.89999999999999991</v>
      </c>
      <c r="J7" s="136">
        <v>-352</v>
      </c>
      <c r="K7" s="139">
        <v>0.5</v>
      </c>
      <c r="L7" s="136">
        <v>-381</v>
      </c>
      <c r="M7" s="139">
        <v>-0.2</v>
      </c>
      <c r="N7" s="136">
        <v>744</v>
      </c>
      <c r="O7" s="139">
        <v>-0.6</v>
      </c>
      <c r="P7" s="136">
        <v>532</v>
      </c>
      <c r="Q7" s="139">
        <v>0.3</v>
      </c>
      <c r="R7" s="136">
        <v>446</v>
      </c>
      <c r="S7" s="139">
        <v>1.0999999999999999</v>
      </c>
      <c r="U7" s="136">
        <v>-109</v>
      </c>
      <c r="V7" s="139">
        <v>-0.70000000000000007</v>
      </c>
      <c r="W7" s="136">
        <v>-70</v>
      </c>
      <c r="X7" s="139">
        <v>-0.8</v>
      </c>
      <c r="Y7" s="136">
        <v>168</v>
      </c>
      <c r="Z7" s="139">
        <v>1</v>
      </c>
      <c r="AA7" s="136">
        <v>143</v>
      </c>
      <c r="AB7" s="140">
        <v>1</v>
      </c>
      <c r="AC7" s="136">
        <v>222</v>
      </c>
      <c r="AD7" s="139">
        <v>1.6</v>
      </c>
      <c r="AE7" s="136">
        <v>170</v>
      </c>
      <c r="AF7" s="139">
        <v>1.2</v>
      </c>
      <c r="AG7" s="136">
        <v>89</v>
      </c>
      <c r="AH7" s="139">
        <v>-0.1</v>
      </c>
      <c r="AI7" s="136">
        <v>175</v>
      </c>
      <c r="AJ7" s="140">
        <v>1.2</v>
      </c>
      <c r="AK7" s="136">
        <v>133</v>
      </c>
      <c r="AL7" s="139">
        <v>1.3</v>
      </c>
      <c r="AM7" s="136">
        <v>-90</v>
      </c>
      <c r="AN7" s="139">
        <v>0</v>
      </c>
      <c r="AO7" s="136">
        <v>-79</v>
      </c>
      <c r="AP7" s="139">
        <v>1.7000000000000002</v>
      </c>
      <c r="AQ7" s="136">
        <v>-318</v>
      </c>
      <c r="AR7" s="140">
        <v>-0.89999999999999991</v>
      </c>
      <c r="AS7" s="136">
        <v>-192</v>
      </c>
      <c r="AT7" s="139">
        <v>0.01</v>
      </c>
      <c r="AU7" s="136">
        <v>-139</v>
      </c>
      <c r="AV7" s="139">
        <v>-0.1</v>
      </c>
      <c r="AW7" s="136">
        <v>-133</v>
      </c>
      <c r="AX7" s="139">
        <v>-1.3</v>
      </c>
      <c r="AY7" s="136">
        <v>83</v>
      </c>
      <c r="AZ7" s="140">
        <v>0.3</v>
      </c>
      <c r="BA7" s="136">
        <v>142</v>
      </c>
      <c r="BB7" s="139">
        <v>-0.2</v>
      </c>
      <c r="BC7" s="136">
        <v>169</v>
      </c>
      <c r="BD7" s="139">
        <v>-0.5</v>
      </c>
      <c r="BE7" s="136">
        <v>216</v>
      </c>
      <c r="BF7" s="139">
        <v>-0.8</v>
      </c>
      <c r="BG7" s="136">
        <v>217</v>
      </c>
      <c r="BH7" s="140">
        <v>-0.8</v>
      </c>
      <c r="BI7" s="136">
        <v>205</v>
      </c>
      <c r="BJ7" s="139">
        <v>0.2</v>
      </c>
      <c r="BK7" s="136">
        <v>-243</v>
      </c>
      <c r="BL7" s="139">
        <v>-2.7</v>
      </c>
      <c r="BM7" s="136">
        <v>254</v>
      </c>
      <c r="BN7" s="139">
        <v>1.5</v>
      </c>
      <c r="BO7" s="136">
        <v>314</v>
      </c>
      <c r="BP7" s="140">
        <v>2.1999999999999997</v>
      </c>
      <c r="BQ7" s="136">
        <v>49</v>
      </c>
      <c r="BR7" s="139">
        <v>1</v>
      </c>
      <c r="BS7" s="136">
        <v>393</v>
      </c>
      <c r="BT7" s="139">
        <v>2.8000000000000003</v>
      </c>
      <c r="BU7" s="136">
        <v>-53</v>
      </c>
      <c r="BV7" s="139">
        <v>0.5</v>
      </c>
      <c r="BW7" s="136">
        <v>57</v>
      </c>
      <c r="BX7" s="140">
        <v>0.2</v>
      </c>
      <c r="BY7" s="136">
        <v>268</v>
      </c>
      <c r="BZ7" s="139">
        <v>1.9</v>
      </c>
      <c r="CA7" s="136">
        <v>-246</v>
      </c>
      <c r="CB7" s="139">
        <v>0.3</v>
      </c>
    </row>
    <row r="8" spans="1:80">
      <c r="A8" s="19" t="s">
        <v>114</v>
      </c>
      <c r="B8" s="139"/>
      <c r="C8" s="139">
        <v>0</v>
      </c>
      <c r="D8" s="136"/>
      <c r="E8" s="139">
        <v>-0.1</v>
      </c>
      <c r="F8" s="136">
        <v>-177</v>
      </c>
      <c r="G8" s="139">
        <v>-0.89999999999999991</v>
      </c>
      <c r="H8" s="136">
        <v>-70</v>
      </c>
      <c r="I8" s="139">
        <v>-0.6</v>
      </c>
      <c r="J8" s="136">
        <v>249</v>
      </c>
      <c r="K8" s="139">
        <v>0.8</v>
      </c>
      <c r="L8" s="136">
        <v>95</v>
      </c>
      <c r="M8" s="139">
        <v>-0.1</v>
      </c>
      <c r="N8" s="136">
        <v>-524</v>
      </c>
      <c r="O8" s="139">
        <v>-1.7000000000000002</v>
      </c>
      <c r="P8" s="136">
        <v>1110</v>
      </c>
      <c r="Q8" s="139">
        <v>0.11</v>
      </c>
      <c r="R8" s="136">
        <v>-256</v>
      </c>
      <c r="S8" s="139">
        <v>-1.49</v>
      </c>
      <c r="U8" s="136">
        <v>-35</v>
      </c>
      <c r="V8" s="139">
        <v>-0.8</v>
      </c>
      <c r="W8" s="136">
        <v>-127</v>
      </c>
      <c r="X8" s="139">
        <v>-1.6</v>
      </c>
      <c r="Y8" s="136">
        <v>-99</v>
      </c>
      <c r="Z8" s="139">
        <v>-1.5</v>
      </c>
      <c r="AA8" s="136">
        <v>84</v>
      </c>
      <c r="AB8" s="140">
        <v>0.4</v>
      </c>
      <c r="AC8" s="136">
        <v>5</v>
      </c>
      <c r="AD8" s="139">
        <v>-0.1</v>
      </c>
      <c r="AE8" s="136">
        <v>139</v>
      </c>
      <c r="AF8" s="139">
        <v>0.89999999999999991</v>
      </c>
      <c r="AG8" s="136">
        <v>-63</v>
      </c>
      <c r="AH8" s="139">
        <v>-1.3</v>
      </c>
      <c r="AI8" s="136">
        <v>-149</v>
      </c>
      <c r="AJ8" s="140">
        <v>-1.7999999999999998</v>
      </c>
      <c r="AK8" s="136">
        <v>91</v>
      </c>
      <c r="AL8" s="139">
        <v>1.1000000000000001</v>
      </c>
      <c r="AM8" s="136">
        <v>-120</v>
      </c>
      <c r="AN8" s="139">
        <v>-1</v>
      </c>
      <c r="AO8" s="20">
        <v>202</v>
      </c>
      <c r="AP8" s="139">
        <v>2.5</v>
      </c>
      <c r="AQ8" s="20">
        <v>78</v>
      </c>
      <c r="AR8" s="140">
        <v>0.8</v>
      </c>
      <c r="AS8" s="136">
        <v>-180</v>
      </c>
      <c r="AT8" s="139">
        <v>-2.1</v>
      </c>
      <c r="AU8" s="136">
        <v>137</v>
      </c>
      <c r="AV8" s="139">
        <v>1.3</v>
      </c>
      <c r="AW8" s="136">
        <v>45</v>
      </c>
      <c r="AX8" s="139">
        <v>-0.1</v>
      </c>
      <c r="AY8" s="20">
        <v>93</v>
      </c>
      <c r="AZ8" s="140">
        <v>0.2</v>
      </c>
      <c r="BA8" s="136">
        <v>179</v>
      </c>
      <c r="BB8" s="139">
        <v>1</v>
      </c>
      <c r="BC8" s="136">
        <v>-415</v>
      </c>
      <c r="BD8" s="139">
        <v>-4.2</v>
      </c>
      <c r="BE8" s="136">
        <v>-169</v>
      </c>
      <c r="BF8" s="139">
        <v>-1.7000000000000002</v>
      </c>
      <c r="BG8" s="20">
        <v>-121</v>
      </c>
      <c r="BH8" s="140">
        <v>-1.7000000000000002</v>
      </c>
      <c r="BI8" s="136">
        <v>4</v>
      </c>
      <c r="BJ8" s="139">
        <v>-1.9</v>
      </c>
      <c r="BK8" s="136">
        <v>580</v>
      </c>
      <c r="BL8" s="139">
        <v>1.7</v>
      </c>
      <c r="BM8" s="136">
        <v>279</v>
      </c>
      <c r="BN8" s="139">
        <v>0</v>
      </c>
      <c r="BO8" s="20">
        <v>249</v>
      </c>
      <c r="BP8" s="140">
        <v>0.5</v>
      </c>
      <c r="BQ8" s="136">
        <v>-88</v>
      </c>
      <c r="BR8" s="139">
        <v>-1</v>
      </c>
      <c r="BS8" s="136">
        <v>-254</v>
      </c>
      <c r="BT8" s="139">
        <v>-3</v>
      </c>
      <c r="BU8" s="136">
        <v>200</v>
      </c>
      <c r="BV8" s="139">
        <v>0</v>
      </c>
      <c r="BW8" s="20">
        <v>-115</v>
      </c>
      <c r="BX8" s="140">
        <v>-1.7999999999999998</v>
      </c>
      <c r="BY8" s="136">
        <v>157</v>
      </c>
      <c r="BZ8" s="139">
        <v>-0.2</v>
      </c>
      <c r="CA8" s="136">
        <v>160</v>
      </c>
      <c r="CB8" s="139">
        <v>0.8</v>
      </c>
    </row>
    <row r="9" spans="1:80">
      <c r="A9" s="21" t="s">
        <v>81</v>
      </c>
      <c r="B9" s="141"/>
      <c r="C9" s="141">
        <v>-1.2724000000000013</v>
      </c>
      <c r="D9" s="142"/>
      <c r="E9" s="141">
        <v>2.1235600000000021</v>
      </c>
      <c r="F9" s="142">
        <v>1455</v>
      </c>
      <c r="G9" s="141">
        <v>0.4</v>
      </c>
      <c r="H9" s="142">
        <v>751</v>
      </c>
      <c r="I9" s="141">
        <v>0.6</v>
      </c>
      <c r="J9" s="142">
        <v>-754</v>
      </c>
      <c r="K9" s="141">
        <v>0.5</v>
      </c>
      <c r="L9" s="142">
        <v>1613</v>
      </c>
      <c r="M9" s="141">
        <v>2.2999999999999998</v>
      </c>
      <c r="N9" s="142">
        <v>2152</v>
      </c>
      <c r="O9" s="141">
        <v>-0.3</v>
      </c>
      <c r="P9" s="142">
        <v>2036</v>
      </c>
      <c r="Q9" s="141">
        <v>-0.6</v>
      </c>
      <c r="R9" s="142">
        <v>-798</v>
      </c>
      <c r="S9" s="141">
        <v>-2.2999999999999998</v>
      </c>
      <c r="U9" s="142">
        <v>101</v>
      </c>
      <c r="V9" s="141">
        <v>-0.70000000000000007</v>
      </c>
      <c r="W9" s="142">
        <v>342</v>
      </c>
      <c r="X9" s="141">
        <v>-0.2</v>
      </c>
      <c r="Y9" s="142">
        <v>378</v>
      </c>
      <c r="Z9" s="141">
        <v>-0.3</v>
      </c>
      <c r="AA9" s="142">
        <v>634</v>
      </c>
      <c r="AB9" s="143">
        <v>2.4</v>
      </c>
      <c r="AC9" s="142">
        <v>415</v>
      </c>
      <c r="AD9" s="141">
        <v>1.3</v>
      </c>
      <c r="AE9" s="142">
        <v>453</v>
      </c>
      <c r="AF9" s="141">
        <v>2.9000000000000004</v>
      </c>
      <c r="AG9" s="142">
        <v>29</v>
      </c>
      <c r="AH9" s="141">
        <v>-0.70000000000000007</v>
      </c>
      <c r="AI9" s="142">
        <v>-146</v>
      </c>
      <c r="AJ9" s="143">
        <v>-0.89999999999999991</v>
      </c>
      <c r="AK9" s="142">
        <v>2</v>
      </c>
      <c r="AL9" s="141">
        <v>1.5</v>
      </c>
      <c r="AM9" s="142">
        <v>-845</v>
      </c>
      <c r="AN9" s="141">
        <v>-4.5</v>
      </c>
      <c r="AO9" s="142">
        <v>-107</v>
      </c>
      <c r="AP9" s="141">
        <v>1.9</v>
      </c>
      <c r="AQ9" s="142">
        <v>196</v>
      </c>
      <c r="AR9" s="143">
        <v>3</v>
      </c>
      <c r="AS9" s="142">
        <v>-65</v>
      </c>
      <c r="AT9" s="141">
        <v>0.1</v>
      </c>
      <c r="AU9" s="142">
        <v>764</v>
      </c>
      <c r="AV9" s="141">
        <v>5.6000000000000005</v>
      </c>
      <c r="AW9" s="142">
        <v>532</v>
      </c>
      <c r="AX9" s="141">
        <v>2.7</v>
      </c>
      <c r="AY9" s="142">
        <v>382</v>
      </c>
      <c r="AZ9" s="143">
        <v>0.6</v>
      </c>
      <c r="BA9" s="142">
        <v>764</v>
      </c>
      <c r="BB9" s="141">
        <v>2.4</v>
      </c>
      <c r="BC9" s="142">
        <v>199</v>
      </c>
      <c r="BD9" s="141">
        <v>-2.2999999999999998</v>
      </c>
      <c r="BE9" s="142">
        <v>548</v>
      </c>
      <c r="BF9" s="141">
        <v>-0.89999999999999991</v>
      </c>
      <c r="BG9" s="142">
        <v>641</v>
      </c>
      <c r="BH9" s="143">
        <v>0</v>
      </c>
      <c r="BI9" s="142">
        <v>530</v>
      </c>
      <c r="BJ9" s="141">
        <v>-0.89999999999999991</v>
      </c>
      <c r="BK9" s="142">
        <v>1032</v>
      </c>
      <c r="BL9" s="141">
        <v>1.4</v>
      </c>
      <c r="BM9" s="142">
        <v>360</v>
      </c>
      <c r="BN9" s="141">
        <v>-1</v>
      </c>
      <c r="BO9" s="142">
        <v>114</v>
      </c>
      <c r="BP9" s="143">
        <v>-1.7000000000000002</v>
      </c>
      <c r="BQ9" s="142">
        <v>-401</v>
      </c>
      <c r="BR9" s="141">
        <v>-3.3000000000000003</v>
      </c>
      <c r="BS9" s="142">
        <v>-492</v>
      </c>
      <c r="BT9" s="141">
        <v>-3.8</v>
      </c>
      <c r="BU9" s="142">
        <v>17</v>
      </c>
      <c r="BV9" s="141">
        <v>-0.8</v>
      </c>
      <c r="BW9" s="142">
        <v>80</v>
      </c>
      <c r="BX9" s="143">
        <v>-1.6</v>
      </c>
      <c r="BY9" s="142">
        <v>328</v>
      </c>
      <c r="BZ9" s="141">
        <v>0.4</v>
      </c>
      <c r="CA9" s="142">
        <v>-90</v>
      </c>
      <c r="CB9" s="141">
        <v>1</v>
      </c>
    </row>
    <row r="10" spans="1:80">
      <c r="A10" s="19" t="s">
        <v>107</v>
      </c>
      <c r="B10" s="136">
        <v>4548</v>
      </c>
      <c r="C10" s="137">
        <v>16.8</v>
      </c>
      <c r="D10" s="136">
        <v>5929.5651049849994</v>
      </c>
      <c r="E10" s="137">
        <v>18.905640000000002</v>
      </c>
      <c r="F10" s="136">
        <v>7385</v>
      </c>
      <c r="G10" s="137">
        <v>19.3</v>
      </c>
      <c r="H10" s="136">
        <v>8136</v>
      </c>
      <c r="I10" s="137">
        <v>19.900000000000002</v>
      </c>
      <c r="J10" s="136">
        <v>7382</v>
      </c>
      <c r="K10" s="137">
        <v>20.399999999999999</v>
      </c>
      <c r="L10" s="136">
        <v>8995</v>
      </c>
      <c r="M10" s="137">
        <v>22.7</v>
      </c>
      <c r="N10" s="136">
        <v>11147</v>
      </c>
      <c r="O10" s="137">
        <v>22.400000000000002</v>
      </c>
      <c r="P10" s="136">
        <v>13183</v>
      </c>
      <c r="Q10" s="137">
        <v>21.8</v>
      </c>
      <c r="R10" s="136">
        <v>12385</v>
      </c>
      <c r="S10" s="137">
        <v>19.5</v>
      </c>
      <c r="U10" s="136">
        <v>1515</v>
      </c>
      <c r="V10" s="137">
        <v>18.399999999999999</v>
      </c>
      <c r="W10" s="136">
        <v>1810</v>
      </c>
      <c r="X10" s="137">
        <v>18.399999999999999</v>
      </c>
      <c r="Y10" s="136">
        <v>1898</v>
      </c>
      <c r="Z10" s="137">
        <v>19.7</v>
      </c>
      <c r="AA10" s="136">
        <v>2162</v>
      </c>
      <c r="AB10" s="138">
        <v>20.5</v>
      </c>
      <c r="AC10" s="136">
        <v>1930</v>
      </c>
      <c r="AD10" s="137">
        <v>19.7</v>
      </c>
      <c r="AE10" s="136">
        <v>2263</v>
      </c>
      <c r="AF10" s="137">
        <v>21.3</v>
      </c>
      <c r="AG10" s="136">
        <v>1927</v>
      </c>
      <c r="AH10" s="137">
        <v>19</v>
      </c>
      <c r="AI10" s="136">
        <v>2016</v>
      </c>
      <c r="AJ10" s="138">
        <v>19.600000000000001</v>
      </c>
      <c r="AK10" s="136">
        <v>1932</v>
      </c>
      <c r="AL10" s="137">
        <v>21.2</v>
      </c>
      <c r="AM10" s="136">
        <v>1418</v>
      </c>
      <c r="AN10" s="137">
        <v>16.8</v>
      </c>
      <c r="AO10" s="136">
        <v>1820</v>
      </c>
      <c r="AP10" s="137">
        <v>20.9</v>
      </c>
      <c r="AQ10" s="136">
        <v>2212</v>
      </c>
      <c r="AR10" s="138">
        <v>22.6</v>
      </c>
      <c r="AS10" s="136">
        <v>1867</v>
      </c>
      <c r="AT10" s="137">
        <v>21.3</v>
      </c>
      <c r="AU10" s="136">
        <v>2182</v>
      </c>
      <c r="AV10" s="137">
        <v>22.400000000000002</v>
      </c>
      <c r="AW10" s="136">
        <v>2352</v>
      </c>
      <c r="AX10" s="137">
        <v>23.599999999999998</v>
      </c>
      <c r="AY10" s="136">
        <v>2594</v>
      </c>
      <c r="AZ10" s="138">
        <v>23.200000000000003</v>
      </c>
      <c r="BA10" s="136">
        <v>2631</v>
      </c>
      <c r="BB10" s="137">
        <v>23.7</v>
      </c>
      <c r="BC10" s="136">
        <v>2381</v>
      </c>
      <c r="BD10" s="137">
        <v>20.100000000000001</v>
      </c>
      <c r="BE10" s="136">
        <v>2900</v>
      </c>
      <c r="BF10" s="137">
        <v>22.7</v>
      </c>
      <c r="BG10" s="136">
        <v>3235</v>
      </c>
      <c r="BH10" s="138">
        <v>23.200000000000003</v>
      </c>
      <c r="BI10" s="136">
        <v>3161</v>
      </c>
      <c r="BJ10" s="137">
        <v>22.8</v>
      </c>
      <c r="BK10" s="136">
        <v>3413</v>
      </c>
      <c r="BL10" s="137">
        <v>21.5</v>
      </c>
      <c r="BM10" s="136">
        <v>3260</v>
      </c>
      <c r="BN10" s="137">
        <v>21.7</v>
      </c>
      <c r="BO10" s="136">
        <v>3349</v>
      </c>
      <c r="BP10" s="138">
        <v>21.5</v>
      </c>
      <c r="BQ10" s="136">
        <v>2760</v>
      </c>
      <c r="BR10" s="137">
        <v>19.5</v>
      </c>
      <c r="BS10" s="136">
        <v>2921</v>
      </c>
      <c r="BT10" s="137">
        <v>17.7</v>
      </c>
      <c r="BU10" s="136">
        <v>3277</v>
      </c>
      <c r="BV10" s="137">
        <v>20.9</v>
      </c>
      <c r="BW10" s="136">
        <v>3429</v>
      </c>
      <c r="BX10" s="138">
        <v>19.900000000000002</v>
      </c>
      <c r="BY10" s="136">
        <v>3088</v>
      </c>
      <c r="BZ10" s="137">
        <v>19.900000000000002</v>
      </c>
      <c r="CA10" s="136">
        <v>2831</v>
      </c>
      <c r="CB10" s="137">
        <v>18.7</v>
      </c>
    </row>
    <row r="11" spans="1:80">
      <c r="A11" s="19"/>
      <c r="B11" s="136"/>
      <c r="C11" s="22"/>
      <c r="D11" s="136"/>
      <c r="E11" s="22"/>
      <c r="F11" s="136"/>
      <c r="G11" s="22"/>
      <c r="H11" s="136"/>
      <c r="I11" s="22"/>
      <c r="J11" s="136"/>
      <c r="K11" s="22"/>
      <c r="L11" s="136"/>
      <c r="M11" s="22"/>
      <c r="N11" s="136"/>
      <c r="O11" s="22"/>
      <c r="P11" s="136"/>
      <c r="Q11" s="22"/>
      <c r="R11" s="136"/>
      <c r="S11" s="22"/>
      <c r="U11" s="136"/>
      <c r="V11" s="22"/>
      <c r="W11" s="136"/>
      <c r="X11" s="22"/>
      <c r="Y11" s="136"/>
      <c r="Z11" s="22"/>
      <c r="AA11" s="136"/>
      <c r="AB11" s="80"/>
      <c r="AC11" s="136"/>
      <c r="AD11" s="22"/>
      <c r="AE11" s="136"/>
      <c r="AF11" s="22"/>
      <c r="AG11" s="136"/>
      <c r="AH11" s="22"/>
      <c r="AI11" s="136"/>
      <c r="AJ11" s="80"/>
      <c r="AK11" s="136"/>
      <c r="AL11" s="22"/>
      <c r="AM11" s="136"/>
      <c r="AN11" s="22"/>
      <c r="AO11" s="136"/>
      <c r="AP11" s="22"/>
      <c r="AQ11" s="136"/>
      <c r="AR11" s="80"/>
      <c r="AS11" s="136"/>
      <c r="AT11" s="22"/>
      <c r="AU11" s="136"/>
      <c r="AV11" s="22"/>
      <c r="AW11" s="136"/>
      <c r="AX11" s="22"/>
      <c r="AY11" s="136"/>
      <c r="AZ11" s="80"/>
      <c r="BA11" s="136"/>
      <c r="BB11" s="22"/>
      <c r="BC11" s="136"/>
      <c r="BD11" s="22"/>
      <c r="BE11" s="136"/>
      <c r="BF11" s="22"/>
      <c r="BG11" s="136"/>
      <c r="BH11" s="80"/>
      <c r="BI11" s="136"/>
      <c r="BJ11" s="22"/>
      <c r="BK11" s="136"/>
      <c r="BL11" s="22"/>
      <c r="BM11" s="136"/>
      <c r="BN11" s="22"/>
      <c r="BO11" s="136"/>
      <c r="BP11" s="80"/>
      <c r="BQ11" s="136"/>
      <c r="BR11" s="22"/>
      <c r="BS11" s="136"/>
      <c r="BT11" s="22"/>
      <c r="BU11" s="136"/>
      <c r="BV11" s="22"/>
      <c r="BW11" s="136"/>
      <c r="BX11" s="80"/>
      <c r="BY11" s="136"/>
      <c r="BZ11" s="22"/>
      <c r="CA11" s="136"/>
      <c r="CB11" s="22"/>
    </row>
    <row r="12" spans="1:80">
      <c r="A12" s="19"/>
      <c r="B12" s="20"/>
      <c r="C12" s="20"/>
      <c r="D12" s="20"/>
      <c r="E12" s="20"/>
      <c r="F12" s="20"/>
      <c r="G12" s="20"/>
      <c r="H12" s="20"/>
      <c r="I12" s="20"/>
      <c r="J12" s="20"/>
      <c r="K12" s="20"/>
      <c r="L12" s="20"/>
      <c r="M12" s="20"/>
      <c r="N12" s="20"/>
      <c r="O12" s="20"/>
      <c r="P12" s="20"/>
      <c r="Q12" s="20"/>
      <c r="R12" s="20"/>
      <c r="S12" s="20"/>
      <c r="U12" s="20"/>
      <c r="V12" s="20"/>
      <c r="W12" s="20"/>
      <c r="X12" s="20"/>
      <c r="Y12" s="20"/>
      <c r="Z12" s="20"/>
      <c r="AA12" s="20"/>
      <c r="AB12" s="83"/>
      <c r="AC12" s="20"/>
      <c r="AD12" s="20"/>
      <c r="AE12" s="20"/>
      <c r="AF12" s="20"/>
      <c r="AG12" s="20"/>
      <c r="AH12" s="20"/>
      <c r="AI12" s="20"/>
      <c r="AJ12" s="83"/>
      <c r="AK12" s="20"/>
      <c r="AL12" s="20"/>
      <c r="AM12" s="20"/>
      <c r="AN12" s="20"/>
      <c r="AO12" s="20"/>
      <c r="AP12" s="20"/>
      <c r="AQ12" s="20"/>
      <c r="AR12" s="83"/>
      <c r="AS12" s="20"/>
      <c r="AT12" s="20"/>
      <c r="AU12" s="20"/>
      <c r="AV12" s="20"/>
      <c r="AW12" s="20"/>
      <c r="AX12" s="20"/>
      <c r="AY12" s="20"/>
      <c r="AZ12" s="83"/>
      <c r="BA12" s="20"/>
      <c r="BB12" s="20"/>
      <c r="BC12" s="20"/>
      <c r="BD12" s="20"/>
      <c r="BE12" s="20"/>
      <c r="BF12" s="20"/>
      <c r="BG12" s="20"/>
      <c r="BH12" s="83"/>
      <c r="BI12" s="20"/>
      <c r="BJ12" s="20"/>
      <c r="BK12" s="20"/>
      <c r="BL12" s="20"/>
      <c r="BM12" s="20"/>
      <c r="BN12" s="20"/>
      <c r="BO12" s="20"/>
      <c r="BP12" s="83"/>
      <c r="BQ12" s="20"/>
      <c r="BR12" s="20"/>
      <c r="BS12" s="20"/>
      <c r="BT12" s="20"/>
      <c r="BU12" s="20"/>
      <c r="BV12" s="20"/>
      <c r="BW12" s="20"/>
      <c r="BX12" s="83"/>
      <c r="BY12" s="20"/>
      <c r="BZ12" s="20"/>
      <c r="CA12" s="20"/>
      <c r="CB12" s="20"/>
    </row>
    <row r="13" spans="1:80" ht="10.5">
      <c r="A13" s="61" t="s">
        <v>223</v>
      </c>
      <c r="B13" s="1087" t="s">
        <v>102</v>
      </c>
      <c r="C13" s="1087"/>
      <c r="D13" s="1087" t="s">
        <v>103</v>
      </c>
      <c r="E13" s="1087"/>
      <c r="F13" s="1087" t="s">
        <v>168</v>
      </c>
      <c r="G13" s="1087"/>
      <c r="H13" s="1087" t="s">
        <v>218</v>
      </c>
      <c r="I13" s="1087"/>
      <c r="J13" s="1087" t="s">
        <v>259</v>
      </c>
      <c r="K13" s="1087"/>
      <c r="L13" s="1087" t="s">
        <v>398</v>
      </c>
      <c r="M13" s="1087"/>
      <c r="N13" s="1087" t="s">
        <v>485</v>
      </c>
      <c r="O13" s="1087"/>
      <c r="P13" s="1087" t="s">
        <v>837</v>
      </c>
      <c r="Q13" s="1087"/>
      <c r="R13" s="1087" t="s">
        <v>1041</v>
      </c>
      <c r="S13" s="1087"/>
      <c r="T13" s="409"/>
      <c r="U13" s="1087" t="s">
        <v>95</v>
      </c>
      <c r="V13" s="1087"/>
      <c r="W13" s="1087" t="s">
        <v>115</v>
      </c>
      <c r="X13" s="1087"/>
      <c r="Y13" s="1087" t="s">
        <v>120</v>
      </c>
      <c r="Z13" s="1087"/>
      <c r="AA13" s="1087" t="s">
        <v>169</v>
      </c>
      <c r="AB13" s="1091"/>
      <c r="AC13" s="1087" t="s">
        <v>170</v>
      </c>
      <c r="AD13" s="1087"/>
      <c r="AE13" s="1087" t="s">
        <v>187</v>
      </c>
      <c r="AF13" s="1087"/>
      <c r="AG13" s="1087" t="s">
        <v>200</v>
      </c>
      <c r="AH13" s="1087"/>
      <c r="AI13" s="1087" t="s">
        <v>214</v>
      </c>
      <c r="AJ13" s="1091"/>
      <c r="AK13" s="1087" t="s">
        <v>219</v>
      </c>
      <c r="AL13" s="1087"/>
      <c r="AM13" s="1087" t="s">
        <v>226</v>
      </c>
      <c r="AN13" s="1087"/>
      <c r="AO13" s="1088" t="s">
        <v>256</v>
      </c>
      <c r="AP13" s="1088"/>
      <c r="AQ13" s="1088" t="s">
        <v>260</v>
      </c>
      <c r="AR13" s="1089"/>
      <c r="AS13" s="1087" t="s">
        <v>355</v>
      </c>
      <c r="AT13" s="1087"/>
      <c r="AU13" s="1087" t="s">
        <v>362</v>
      </c>
      <c r="AV13" s="1087"/>
      <c r="AW13" s="1087" t="str">
        <f>+AW3</f>
        <v>2021 Q3</v>
      </c>
      <c r="AX13" s="1087"/>
      <c r="AY13" s="1088" t="s">
        <v>397</v>
      </c>
      <c r="AZ13" s="1089"/>
      <c r="BA13" s="1090" t="s">
        <v>452</v>
      </c>
      <c r="BB13" s="1090"/>
      <c r="BC13" s="1087" t="s">
        <v>458</v>
      </c>
      <c r="BD13" s="1087"/>
      <c r="BE13" s="1087" t="s">
        <v>461</v>
      </c>
      <c r="BF13" s="1087"/>
      <c r="BG13" s="1088" t="s">
        <v>484</v>
      </c>
      <c r="BH13" s="1089"/>
      <c r="BI13" s="1090" t="s">
        <v>804</v>
      </c>
      <c r="BJ13" s="1090"/>
      <c r="BK13" s="1087" t="s">
        <v>815</v>
      </c>
      <c r="BL13" s="1087"/>
      <c r="BM13" s="1087" t="s">
        <v>817</v>
      </c>
      <c r="BN13" s="1087"/>
      <c r="BO13" s="1088" t="s">
        <v>836</v>
      </c>
      <c r="BP13" s="1089"/>
      <c r="BQ13" s="1090" t="s">
        <v>873</v>
      </c>
      <c r="BR13" s="1090"/>
      <c r="BS13" s="1087" t="s">
        <v>987</v>
      </c>
      <c r="BT13" s="1087"/>
      <c r="BU13" s="1087" t="s">
        <v>1034</v>
      </c>
      <c r="BV13" s="1087"/>
      <c r="BW13" s="1088" t="s">
        <v>1040</v>
      </c>
      <c r="BX13" s="1089"/>
      <c r="BY13" s="1090" t="s">
        <v>1263</v>
      </c>
      <c r="BZ13" s="1090"/>
      <c r="CA13" s="1087" t="s">
        <v>1286</v>
      </c>
      <c r="CB13" s="1087"/>
    </row>
    <row r="14" spans="1:80" ht="10.5">
      <c r="A14" s="62"/>
      <c r="B14" s="134" t="s">
        <v>207</v>
      </c>
      <c r="C14" s="134" t="s">
        <v>108</v>
      </c>
      <c r="D14" s="134" t="s">
        <v>207</v>
      </c>
      <c r="E14" s="134" t="s">
        <v>108</v>
      </c>
      <c r="F14" s="134" t="s">
        <v>207</v>
      </c>
      <c r="G14" s="134" t="s">
        <v>108</v>
      </c>
      <c r="H14" s="134" t="s">
        <v>207</v>
      </c>
      <c r="I14" s="134" t="s">
        <v>108</v>
      </c>
      <c r="J14" s="134" t="s">
        <v>207</v>
      </c>
      <c r="K14" s="134" t="s">
        <v>108</v>
      </c>
      <c r="L14" s="134" t="s">
        <v>207</v>
      </c>
      <c r="M14" s="134" t="s">
        <v>108</v>
      </c>
      <c r="N14" s="134" t="s">
        <v>207</v>
      </c>
      <c r="O14" s="134" t="s">
        <v>108</v>
      </c>
      <c r="P14" s="134" t="s">
        <v>207</v>
      </c>
      <c r="Q14" s="134" t="s">
        <v>108</v>
      </c>
      <c r="R14" s="134" t="s">
        <v>207</v>
      </c>
      <c r="S14" s="134" t="s">
        <v>108</v>
      </c>
      <c r="U14" s="134" t="s">
        <v>207</v>
      </c>
      <c r="V14" s="134" t="s">
        <v>108</v>
      </c>
      <c r="W14" s="134" t="s">
        <v>207</v>
      </c>
      <c r="X14" s="134" t="s">
        <v>108</v>
      </c>
      <c r="Y14" s="134" t="s">
        <v>207</v>
      </c>
      <c r="Z14" s="134" t="s">
        <v>108</v>
      </c>
      <c r="AA14" s="134" t="s">
        <v>207</v>
      </c>
      <c r="AB14" s="135" t="s">
        <v>108</v>
      </c>
      <c r="AC14" s="134" t="s">
        <v>207</v>
      </c>
      <c r="AD14" s="134" t="s">
        <v>108</v>
      </c>
      <c r="AE14" s="134" t="s">
        <v>207</v>
      </c>
      <c r="AF14" s="134" t="s">
        <v>108</v>
      </c>
      <c r="AG14" s="134" t="s">
        <v>207</v>
      </c>
      <c r="AH14" s="134" t="s">
        <v>108</v>
      </c>
      <c r="AI14" s="134" t="s">
        <v>207</v>
      </c>
      <c r="AJ14" s="135" t="s">
        <v>108</v>
      </c>
      <c r="AK14" s="134" t="s">
        <v>207</v>
      </c>
      <c r="AL14" s="134" t="s">
        <v>108</v>
      </c>
      <c r="AM14" s="134" t="s">
        <v>207</v>
      </c>
      <c r="AN14" s="134" t="s">
        <v>108</v>
      </c>
      <c r="AO14" s="134" t="s">
        <v>207</v>
      </c>
      <c r="AP14" s="134" t="s">
        <v>108</v>
      </c>
      <c r="AQ14" s="134" t="s">
        <v>207</v>
      </c>
      <c r="AR14" s="135" t="s">
        <v>108</v>
      </c>
      <c r="AS14" s="134" t="s">
        <v>207</v>
      </c>
      <c r="AT14" s="134" t="s">
        <v>108</v>
      </c>
      <c r="AU14" s="134" t="s">
        <v>207</v>
      </c>
      <c r="AV14" s="134" t="s">
        <v>108</v>
      </c>
      <c r="AW14" s="134" t="s">
        <v>207</v>
      </c>
      <c r="AX14" s="134" t="s">
        <v>108</v>
      </c>
      <c r="AY14" s="134" t="s">
        <v>207</v>
      </c>
      <c r="AZ14" s="135" t="s">
        <v>108</v>
      </c>
      <c r="BA14" s="134" t="s">
        <v>207</v>
      </c>
      <c r="BB14" s="134" t="s">
        <v>108</v>
      </c>
      <c r="BC14" s="134" t="s">
        <v>207</v>
      </c>
      <c r="BD14" s="134" t="s">
        <v>108</v>
      </c>
      <c r="BE14" s="134" t="s">
        <v>207</v>
      </c>
      <c r="BF14" s="134" t="s">
        <v>108</v>
      </c>
      <c r="BG14" s="134" t="s">
        <v>207</v>
      </c>
      <c r="BH14" s="135" t="s">
        <v>108</v>
      </c>
      <c r="BI14" s="134" t="s">
        <v>207</v>
      </c>
      <c r="BJ14" s="134" t="s">
        <v>108</v>
      </c>
      <c r="BK14" s="134" t="s">
        <v>207</v>
      </c>
      <c r="BL14" s="134" t="s">
        <v>108</v>
      </c>
      <c r="BM14" s="134" t="s">
        <v>207</v>
      </c>
      <c r="BN14" s="134" t="s">
        <v>108</v>
      </c>
      <c r="BO14" s="134" t="s">
        <v>207</v>
      </c>
      <c r="BP14" s="135" t="s">
        <v>108</v>
      </c>
      <c r="BQ14" s="134" t="s">
        <v>207</v>
      </c>
      <c r="BR14" s="134" t="s">
        <v>108</v>
      </c>
      <c r="BS14" s="134" t="s">
        <v>207</v>
      </c>
      <c r="BT14" s="134" t="s">
        <v>108</v>
      </c>
      <c r="BU14" s="134" t="s">
        <v>207</v>
      </c>
      <c r="BV14" s="134" t="s">
        <v>108</v>
      </c>
      <c r="BW14" s="134" t="s">
        <v>207</v>
      </c>
      <c r="BX14" s="135" t="s">
        <v>108</v>
      </c>
      <c r="BY14" s="134" t="s">
        <v>207</v>
      </c>
      <c r="BZ14" s="134" t="s">
        <v>108</v>
      </c>
      <c r="CA14" s="134" t="s">
        <v>207</v>
      </c>
      <c r="CB14" s="134" t="s">
        <v>108</v>
      </c>
    </row>
    <row r="15" spans="1:80">
      <c r="A15" s="23" t="s">
        <v>106</v>
      </c>
      <c r="B15" s="136">
        <v>4370</v>
      </c>
      <c r="C15" s="137">
        <v>21.5</v>
      </c>
      <c r="D15" s="136">
        <v>3802</v>
      </c>
      <c r="E15" s="137">
        <v>20.095679999999998</v>
      </c>
      <c r="F15" s="136">
        <v>5107.4681666059005</v>
      </c>
      <c r="G15" s="144">
        <v>22.829891767422165</v>
      </c>
      <c r="H15" s="136">
        <v>6713</v>
      </c>
      <c r="I15" s="144">
        <v>23.5</v>
      </c>
      <c r="J15" s="136">
        <v>7436</v>
      </c>
      <c r="K15" s="144">
        <v>24.9</v>
      </c>
      <c r="L15" s="136">
        <v>6639</v>
      </c>
      <c r="M15" s="144">
        <v>24.7</v>
      </c>
      <c r="N15" s="136">
        <v>7808</v>
      </c>
      <c r="O15" s="144">
        <v>26.6</v>
      </c>
      <c r="P15" s="136">
        <v>9491</v>
      </c>
      <c r="Q15" s="144">
        <v>24.4</v>
      </c>
      <c r="R15" s="136">
        <v>11792</v>
      </c>
      <c r="S15" s="144">
        <v>24.8</v>
      </c>
      <c r="U15" s="136">
        <v>1166</v>
      </c>
      <c r="V15" s="137">
        <v>22.3</v>
      </c>
      <c r="W15" s="136">
        <v>1242</v>
      </c>
      <c r="X15" s="137">
        <v>22.6</v>
      </c>
      <c r="Y15" s="136">
        <v>1261</v>
      </c>
      <c r="Z15" s="137">
        <v>23.3</v>
      </c>
      <c r="AA15" s="136">
        <v>1438</v>
      </c>
      <c r="AB15" s="138">
        <v>23</v>
      </c>
      <c r="AC15" s="136">
        <v>1351</v>
      </c>
      <c r="AD15" s="144">
        <v>22.7</v>
      </c>
      <c r="AE15" s="136">
        <v>1741</v>
      </c>
      <c r="AF15" s="137">
        <v>23.8</v>
      </c>
      <c r="AG15" s="136">
        <v>1755</v>
      </c>
      <c r="AH15" s="137">
        <v>24.5</v>
      </c>
      <c r="AI15" s="136">
        <v>1866</v>
      </c>
      <c r="AJ15" s="138">
        <v>23.1</v>
      </c>
      <c r="AK15" s="136">
        <v>1707</v>
      </c>
      <c r="AL15" s="137">
        <v>24</v>
      </c>
      <c r="AM15" s="136">
        <v>1961</v>
      </c>
      <c r="AN15" s="137">
        <v>25.5</v>
      </c>
      <c r="AO15" s="136">
        <v>1923</v>
      </c>
      <c r="AP15" s="137">
        <v>26.200000000000003</v>
      </c>
      <c r="AQ15" s="136">
        <v>1844</v>
      </c>
      <c r="AR15" s="138">
        <v>23.799999999999997</v>
      </c>
      <c r="AS15" s="136">
        <v>1586</v>
      </c>
      <c r="AT15" s="137">
        <v>24.099999999999998</v>
      </c>
      <c r="AU15" s="136">
        <v>1441</v>
      </c>
      <c r="AV15" s="137">
        <v>22.400000000000002</v>
      </c>
      <c r="AW15" s="136">
        <v>1646</v>
      </c>
      <c r="AX15" s="137">
        <v>25.4</v>
      </c>
      <c r="AY15" s="136">
        <v>1966</v>
      </c>
      <c r="AZ15" s="138">
        <v>26.400000000000002</v>
      </c>
      <c r="BA15" s="136">
        <v>1696</v>
      </c>
      <c r="BB15" s="137">
        <v>26.5</v>
      </c>
      <c r="BC15" s="136">
        <v>1880</v>
      </c>
      <c r="BD15" s="137">
        <v>26.200000000000003</v>
      </c>
      <c r="BE15" s="136">
        <v>1909</v>
      </c>
      <c r="BF15" s="137">
        <v>26.400000000000002</v>
      </c>
      <c r="BG15" s="136">
        <v>2323</v>
      </c>
      <c r="BH15" s="138">
        <v>27.3</v>
      </c>
      <c r="BI15" s="136">
        <v>2188</v>
      </c>
      <c r="BJ15" s="137">
        <v>25.8</v>
      </c>
      <c r="BK15" s="136">
        <v>1955</v>
      </c>
      <c r="BL15" s="137">
        <v>21.6</v>
      </c>
      <c r="BM15" s="136">
        <v>2474</v>
      </c>
      <c r="BN15" s="137">
        <v>24.6</v>
      </c>
      <c r="BO15" s="136">
        <v>2874</v>
      </c>
      <c r="BP15" s="138">
        <v>25.5</v>
      </c>
      <c r="BQ15" s="136">
        <v>2718</v>
      </c>
      <c r="BR15" s="137">
        <v>25.3</v>
      </c>
      <c r="BS15" s="136">
        <v>2995</v>
      </c>
      <c r="BT15" s="137">
        <v>23.9</v>
      </c>
      <c r="BU15" s="136">
        <v>2868</v>
      </c>
      <c r="BV15" s="137">
        <v>24.5</v>
      </c>
      <c r="BW15" s="136">
        <v>3213</v>
      </c>
      <c r="BX15" s="138">
        <v>25.6</v>
      </c>
      <c r="BY15" s="136">
        <v>2503</v>
      </c>
      <c r="BZ15" s="137">
        <v>22.3</v>
      </c>
      <c r="CA15" s="136">
        <v>2763</v>
      </c>
      <c r="CB15" s="137">
        <v>22.1</v>
      </c>
    </row>
    <row r="16" spans="1:80">
      <c r="A16" s="19" t="s">
        <v>68</v>
      </c>
      <c r="C16" s="139">
        <v>-1</v>
      </c>
      <c r="D16" s="136"/>
      <c r="E16" s="139">
        <v>2.2999999999999998</v>
      </c>
      <c r="F16" s="136">
        <v>1472</v>
      </c>
      <c r="G16" s="139">
        <v>0.9</v>
      </c>
      <c r="H16" s="136">
        <v>214</v>
      </c>
      <c r="I16" s="139">
        <v>0.3</v>
      </c>
      <c r="J16" s="136">
        <v>-525</v>
      </c>
      <c r="K16" s="139">
        <v>-0.89999999999999991</v>
      </c>
      <c r="L16" s="136">
        <v>1391</v>
      </c>
      <c r="M16" s="139">
        <v>2.1999999999999997</v>
      </c>
      <c r="N16" s="136">
        <v>1816</v>
      </c>
      <c r="O16" s="139">
        <v>2.1</v>
      </c>
      <c r="P16" s="136">
        <v>792</v>
      </c>
      <c r="Q16" s="139">
        <v>-0.70000000000000007</v>
      </c>
      <c r="R16" s="136">
        <v>-724</v>
      </c>
      <c r="S16" s="139">
        <v>-2.5</v>
      </c>
      <c r="U16" s="136">
        <v>277</v>
      </c>
      <c r="V16" s="139">
        <v>1.6</v>
      </c>
      <c r="W16" s="136">
        <v>558</v>
      </c>
      <c r="X16" s="139">
        <v>2.6</v>
      </c>
      <c r="Y16" s="136">
        <v>339</v>
      </c>
      <c r="Z16" s="139">
        <v>0.4</v>
      </c>
      <c r="AA16" s="136">
        <v>298</v>
      </c>
      <c r="AB16" s="140">
        <v>-0.4</v>
      </c>
      <c r="AC16" s="136">
        <v>169</v>
      </c>
      <c r="AD16" s="139">
        <v>-0.7</v>
      </c>
      <c r="AE16" s="136">
        <v>77</v>
      </c>
      <c r="AF16" s="139">
        <v>0.3</v>
      </c>
      <c r="AG16" s="136">
        <v>102</v>
      </c>
      <c r="AH16" s="139">
        <v>1.7000000000000002</v>
      </c>
      <c r="AI16" s="136">
        <v>-138</v>
      </c>
      <c r="AJ16" s="140">
        <v>-0.4</v>
      </c>
      <c r="AK16" s="136">
        <v>-182</v>
      </c>
      <c r="AL16" s="139">
        <v>-0.7</v>
      </c>
      <c r="AM16" s="136">
        <v>-430</v>
      </c>
      <c r="AN16" s="139">
        <v>-3</v>
      </c>
      <c r="AO16" s="136">
        <v>-201</v>
      </c>
      <c r="AP16" s="139">
        <v>-2.7</v>
      </c>
      <c r="AQ16" s="136">
        <v>290</v>
      </c>
      <c r="AR16" s="140">
        <v>2.1999999999999997</v>
      </c>
      <c r="AS16" s="136">
        <v>267</v>
      </c>
      <c r="AT16" s="139">
        <v>2.4</v>
      </c>
      <c r="AU16" s="136">
        <v>555</v>
      </c>
      <c r="AV16" s="139">
        <v>3.9</v>
      </c>
      <c r="AW16" s="136">
        <v>387</v>
      </c>
      <c r="AX16" s="139">
        <v>3.5000000000000004</v>
      </c>
      <c r="AY16" s="136">
        <v>188</v>
      </c>
      <c r="AZ16" s="140">
        <v>0</v>
      </c>
      <c r="BA16" s="136">
        <v>386</v>
      </c>
      <c r="BB16" s="139">
        <v>1.2000999999999999</v>
      </c>
      <c r="BC16" s="136">
        <v>366</v>
      </c>
      <c r="BD16" s="139">
        <v>2.6</v>
      </c>
      <c r="BE16" s="136">
        <v>480</v>
      </c>
      <c r="BF16" s="139">
        <v>1.4000000000000001</v>
      </c>
      <c r="BG16" s="136">
        <v>591</v>
      </c>
      <c r="BH16" s="140">
        <v>2.9000000000000004</v>
      </c>
      <c r="BI16" s="136">
        <v>303</v>
      </c>
      <c r="BJ16" s="139">
        <v>0.70000000000000007</v>
      </c>
      <c r="BK16" s="136">
        <v>734</v>
      </c>
      <c r="BL16" s="139">
        <v>2.9</v>
      </c>
      <c r="BM16" s="136">
        <v>7</v>
      </c>
      <c r="BN16" s="139">
        <v>-1.6</v>
      </c>
      <c r="BO16" s="136">
        <v>-256</v>
      </c>
      <c r="BP16" s="140">
        <v>-4.2</v>
      </c>
      <c r="BQ16" s="136">
        <v>-273</v>
      </c>
      <c r="BR16" s="139">
        <v>-4.1000000000000005</v>
      </c>
      <c r="BS16" s="136">
        <v>-440</v>
      </c>
      <c r="BT16" s="139">
        <v>-3.6999999999999997</v>
      </c>
      <c r="BU16" s="136">
        <v>-137</v>
      </c>
      <c r="BV16" s="139">
        <v>-2.4</v>
      </c>
      <c r="BW16" s="136">
        <v>123</v>
      </c>
      <c r="BX16" s="140">
        <v>-0.4</v>
      </c>
      <c r="BY16" s="136">
        <v>16</v>
      </c>
      <c r="BZ16" s="139">
        <v>-0.8</v>
      </c>
      <c r="CA16" s="136">
        <v>-55</v>
      </c>
      <c r="CB16" s="139">
        <v>-0.6</v>
      </c>
    </row>
    <row r="17" spans="1:80">
      <c r="A17" s="19" t="s">
        <v>32</v>
      </c>
      <c r="C17" s="139">
        <v>-0.51534000000000102</v>
      </c>
      <c r="D17" s="136"/>
      <c r="E17" s="139">
        <v>0.30432000000000192</v>
      </c>
      <c r="F17" s="136">
        <v>87</v>
      </c>
      <c r="G17" s="139">
        <v>0.2</v>
      </c>
      <c r="H17" s="136">
        <v>561</v>
      </c>
      <c r="I17" s="139">
        <v>1.0999999999999999</v>
      </c>
      <c r="J17" s="136">
        <v>-221</v>
      </c>
      <c r="K17" s="139">
        <v>0.89999999999999991</v>
      </c>
      <c r="L17" s="136">
        <v>-398</v>
      </c>
      <c r="M17" s="139">
        <v>-0.5</v>
      </c>
      <c r="N17" s="136">
        <v>477</v>
      </c>
      <c r="O17" s="139">
        <v>-1.0999999999999999</v>
      </c>
      <c r="P17" s="136">
        <v>453</v>
      </c>
      <c r="Q17" s="139">
        <v>0.3</v>
      </c>
      <c r="R17" s="136">
        <v>434</v>
      </c>
      <c r="S17" s="139">
        <v>1.3</v>
      </c>
      <c r="U17" s="136">
        <v>-103</v>
      </c>
      <c r="V17" s="139">
        <v>-0.8</v>
      </c>
      <c r="W17" s="136">
        <v>-60</v>
      </c>
      <c r="X17" s="139">
        <v>-0.9</v>
      </c>
      <c r="Y17" s="136">
        <v>145</v>
      </c>
      <c r="Z17" s="139">
        <v>1.2</v>
      </c>
      <c r="AA17" s="136">
        <v>105</v>
      </c>
      <c r="AB17" s="140">
        <v>0.89999999999999991</v>
      </c>
      <c r="AC17" s="136">
        <v>203</v>
      </c>
      <c r="AD17" s="139">
        <v>2</v>
      </c>
      <c r="AE17" s="136">
        <v>153</v>
      </c>
      <c r="AF17" s="139">
        <v>1.4000000000000001</v>
      </c>
      <c r="AG17" s="136">
        <v>61</v>
      </c>
      <c r="AH17" s="139">
        <v>-0.3</v>
      </c>
      <c r="AI17" s="136">
        <v>145</v>
      </c>
      <c r="AJ17" s="140">
        <v>1.2</v>
      </c>
      <c r="AK17" s="136">
        <v>94</v>
      </c>
      <c r="AL17" s="139">
        <v>1.3</v>
      </c>
      <c r="AM17" s="136">
        <v>-69</v>
      </c>
      <c r="AN17" s="139">
        <v>0.2</v>
      </c>
      <c r="AO17" s="136">
        <v>-46</v>
      </c>
      <c r="AP17" s="139">
        <v>2.4</v>
      </c>
      <c r="AQ17" s="136">
        <v>-200</v>
      </c>
      <c r="AR17" s="140">
        <v>0</v>
      </c>
      <c r="AS17" s="136">
        <v>-186</v>
      </c>
      <c r="AT17" s="139">
        <v>-0.4</v>
      </c>
      <c r="AU17" s="136">
        <v>-125</v>
      </c>
      <c r="AV17" s="139">
        <v>-0.1</v>
      </c>
      <c r="AW17" s="136">
        <v>-116</v>
      </c>
      <c r="AX17" s="139">
        <v>-1.6</v>
      </c>
      <c r="AY17" s="136">
        <v>28</v>
      </c>
      <c r="AZ17" s="140">
        <v>-0.1</v>
      </c>
      <c r="BA17" s="136">
        <v>109</v>
      </c>
      <c r="BB17" s="139">
        <v>-0.3</v>
      </c>
      <c r="BC17" s="136">
        <v>104</v>
      </c>
      <c r="BD17" s="139">
        <v>-1</v>
      </c>
      <c r="BE17" s="136">
        <v>159</v>
      </c>
      <c r="BF17" s="139">
        <v>-1.3</v>
      </c>
      <c r="BG17" s="136">
        <v>105</v>
      </c>
      <c r="BH17" s="140">
        <v>-1.7000000000000002</v>
      </c>
      <c r="BI17" s="136">
        <v>165</v>
      </c>
      <c r="BJ17" s="139">
        <v>0.1</v>
      </c>
      <c r="BK17" s="136">
        <v>-199</v>
      </c>
      <c r="BL17" s="139">
        <v>-2.9</v>
      </c>
      <c r="BM17" s="136">
        <v>194</v>
      </c>
      <c r="BN17" s="139">
        <v>1.4000000000000001</v>
      </c>
      <c r="BO17" s="136">
        <v>291</v>
      </c>
      <c r="BP17" s="140">
        <v>2.5</v>
      </c>
      <c r="BQ17" s="136">
        <v>59</v>
      </c>
      <c r="BR17" s="139">
        <v>1.3</v>
      </c>
      <c r="BS17" s="136">
        <v>338</v>
      </c>
      <c r="BT17" s="139">
        <v>3</v>
      </c>
      <c r="BU17" s="136">
        <v>-18</v>
      </c>
      <c r="BV17" s="139">
        <v>0.8</v>
      </c>
      <c r="BW17" s="136">
        <v>56</v>
      </c>
      <c r="BX17" s="140">
        <v>0.3</v>
      </c>
      <c r="BY17" s="136">
        <v>202</v>
      </c>
      <c r="BZ17" s="139">
        <v>1.7999999999999998</v>
      </c>
      <c r="CA17" s="136">
        <v>-210</v>
      </c>
      <c r="CB17" s="139">
        <v>0.4</v>
      </c>
    </row>
    <row r="18" spans="1:80">
      <c r="A18" s="19" t="s">
        <v>114</v>
      </c>
      <c r="C18" s="139">
        <v>0.1</v>
      </c>
      <c r="D18" s="136"/>
      <c r="E18" s="139">
        <v>0.1</v>
      </c>
      <c r="F18" s="136">
        <v>47</v>
      </c>
      <c r="G18" s="139">
        <v>-0.4</v>
      </c>
      <c r="H18" s="136">
        <v>-52</v>
      </c>
      <c r="I18" s="139">
        <v>0</v>
      </c>
      <c r="J18" s="136">
        <v>-51</v>
      </c>
      <c r="K18" s="139">
        <v>-0.2</v>
      </c>
      <c r="L18" s="136">
        <v>176</v>
      </c>
      <c r="M18" s="139">
        <v>0.2</v>
      </c>
      <c r="N18" s="136">
        <v>-824</v>
      </c>
      <c r="O18" s="139">
        <v>-3</v>
      </c>
      <c r="P18" s="136">
        <v>1056</v>
      </c>
      <c r="Q18" s="139">
        <v>0.8</v>
      </c>
      <c r="R18" s="136">
        <v>-192</v>
      </c>
      <c r="S18" s="139">
        <v>-0.5</v>
      </c>
      <c r="U18" s="136">
        <v>11</v>
      </c>
      <c r="V18" s="139">
        <v>-0.4</v>
      </c>
      <c r="W18" s="136">
        <v>1</v>
      </c>
      <c r="X18" s="139">
        <v>-0.5</v>
      </c>
      <c r="Y18" s="136">
        <v>10</v>
      </c>
      <c r="Z18" s="139">
        <v>-0.4</v>
      </c>
      <c r="AA18" s="136">
        <v>25</v>
      </c>
      <c r="AB18" s="140">
        <v>-0.4</v>
      </c>
      <c r="AC18" s="136">
        <v>-16</v>
      </c>
      <c r="AD18" s="139">
        <v>0</v>
      </c>
      <c r="AE18" s="136">
        <v>-10</v>
      </c>
      <c r="AF18" s="139">
        <v>0</v>
      </c>
      <c r="AG18" s="136">
        <v>5</v>
      </c>
      <c r="AH18" s="139">
        <v>0.3</v>
      </c>
      <c r="AI18" s="136">
        <v>-29</v>
      </c>
      <c r="AJ18" s="140">
        <v>-0.1</v>
      </c>
      <c r="AK18" s="136">
        <v>-33</v>
      </c>
      <c r="AL18" s="139">
        <v>-0.5</v>
      </c>
      <c r="AM18" s="136">
        <v>-21</v>
      </c>
      <c r="AN18" s="139">
        <v>-0.3</v>
      </c>
      <c r="AO18" s="20">
        <v>-30</v>
      </c>
      <c r="AP18" s="139">
        <v>-0.5</v>
      </c>
      <c r="AQ18" s="20">
        <v>32</v>
      </c>
      <c r="AR18" s="140">
        <v>0.4</v>
      </c>
      <c r="AS18" s="136">
        <v>29</v>
      </c>
      <c r="AT18" s="139">
        <v>0.4</v>
      </c>
      <c r="AU18" s="136">
        <v>9</v>
      </c>
      <c r="AV18" s="139">
        <v>1.0999999999999999E-2</v>
      </c>
      <c r="AW18" s="136">
        <v>-8</v>
      </c>
      <c r="AX18" s="139">
        <v>-0.89999999999999991</v>
      </c>
      <c r="AY18" s="20">
        <v>141</v>
      </c>
      <c r="AZ18" s="140">
        <v>1</v>
      </c>
      <c r="BA18" s="136">
        <v>-49</v>
      </c>
      <c r="BB18" s="139">
        <v>-1.3</v>
      </c>
      <c r="BC18" s="136">
        <v>-459</v>
      </c>
      <c r="BD18" s="139">
        <v>-6.1</v>
      </c>
      <c r="BE18" s="136">
        <v>-131</v>
      </c>
      <c r="BF18" s="139">
        <v>-1.7000000000000002</v>
      </c>
      <c r="BG18" s="20">
        <v>-192</v>
      </c>
      <c r="BH18" s="140">
        <v>-2.8000000000000003</v>
      </c>
      <c r="BI18" s="136">
        <v>62</v>
      </c>
      <c r="BJ18" s="139">
        <v>-1.3</v>
      </c>
      <c r="BK18" s="136">
        <v>505</v>
      </c>
      <c r="BL18" s="139">
        <v>2.2999999999999998</v>
      </c>
      <c r="BM18" s="136">
        <v>193</v>
      </c>
      <c r="BN18" s="139">
        <v>0.1</v>
      </c>
      <c r="BO18" s="20">
        <v>302</v>
      </c>
      <c r="BP18" s="140">
        <v>1.7999999999999998</v>
      </c>
      <c r="BQ18" s="136">
        <v>-1</v>
      </c>
      <c r="BR18" s="139">
        <v>-0.2</v>
      </c>
      <c r="BS18" s="136">
        <v>-130</v>
      </c>
      <c r="BT18" s="139">
        <v>-1.0999999999999999</v>
      </c>
      <c r="BU18" s="136">
        <v>210</v>
      </c>
      <c r="BV18" s="139">
        <v>1.7000000000000002</v>
      </c>
      <c r="BW18" s="20">
        <v>-272</v>
      </c>
      <c r="BX18" s="140">
        <v>-2.1</v>
      </c>
      <c r="BY18" s="136">
        <v>3</v>
      </c>
      <c r="BZ18" s="139">
        <v>0</v>
      </c>
      <c r="CA18" s="136">
        <v>79</v>
      </c>
      <c r="CB18" s="139">
        <v>0.6</v>
      </c>
    </row>
    <row r="19" spans="1:80">
      <c r="A19" s="21" t="s">
        <v>81</v>
      </c>
      <c r="B19" s="145"/>
      <c r="C19" s="141">
        <v>-1.4153400000000009</v>
      </c>
      <c r="D19" s="142"/>
      <c r="E19" s="141">
        <v>2.7043200000000018</v>
      </c>
      <c r="F19" s="142">
        <v>1606</v>
      </c>
      <c r="G19" s="141">
        <v>0.69498559767943391</v>
      </c>
      <c r="H19" s="142">
        <v>723</v>
      </c>
      <c r="I19" s="141">
        <v>1.4</v>
      </c>
      <c r="J19" s="142">
        <v>-797</v>
      </c>
      <c r="K19" s="141">
        <v>-0.2</v>
      </c>
      <c r="L19" s="142">
        <v>1169</v>
      </c>
      <c r="M19" s="141">
        <v>1.9</v>
      </c>
      <c r="N19" s="142">
        <v>1469</v>
      </c>
      <c r="O19" s="141">
        <v>-2</v>
      </c>
      <c r="P19" s="142">
        <v>2301</v>
      </c>
      <c r="Q19" s="141">
        <v>0.4</v>
      </c>
      <c r="R19" s="142">
        <v>-482</v>
      </c>
      <c r="S19" s="141">
        <v>-1.7000000000000002</v>
      </c>
      <c r="U19" s="142">
        <v>185</v>
      </c>
      <c r="V19" s="141">
        <v>0.4</v>
      </c>
      <c r="W19" s="142">
        <v>499</v>
      </c>
      <c r="X19" s="141">
        <v>1.2</v>
      </c>
      <c r="Y19" s="142">
        <v>494</v>
      </c>
      <c r="Z19" s="141">
        <v>1.2</v>
      </c>
      <c r="AA19" s="142">
        <v>428</v>
      </c>
      <c r="AB19" s="143">
        <v>0.1</v>
      </c>
      <c r="AC19" s="142">
        <v>356</v>
      </c>
      <c r="AD19" s="141">
        <v>1.3</v>
      </c>
      <c r="AE19" s="142">
        <v>220</v>
      </c>
      <c r="AF19" s="141">
        <v>1.7</v>
      </c>
      <c r="AG19" s="142">
        <v>168</v>
      </c>
      <c r="AH19" s="141">
        <v>1.7000000000000002</v>
      </c>
      <c r="AI19" s="142">
        <v>-21</v>
      </c>
      <c r="AJ19" s="143">
        <v>0.70000000000000007</v>
      </c>
      <c r="AK19" s="142">
        <v>-121</v>
      </c>
      <c r="AL19" s="141">
        <v>0.1</v>
      </c>
      <c r="AM19" s="142">
        <v>-520</v>
      </c>
      <c r="AN19" s="141">
        <v>-3.1</v>
      </c>
      <c r="AO19" s="142">
        <v>-277</v>
      </c>
      <c r="AP19" s="141">
        <v>-0.8</v>
      </c>
      <c r="AQ19" s="142">
        <v>122</v>
      </c>
      <c r="AR19" s="143">
        <v>2.6</v>
      </c>
      <c r="AS19" s="142">
        <v>110</v>
      </c>
      <c r="AT19" s="141">
        <v>2.4</v>
      </c>
      <c r="AU19" s="142">
        <v>439</v>
      </c>
      <c r="AV19" s="141">
        <v>3.8</v>
      </c>
      <c r="AW19" s="142">
        <v>263</v>
      </c>
      <c r="AX19" s="141">
        <v>1</v>
      </c>
      <c r="AY19" s="142">
        <v>357</v>
      </c>
      <c r="AZ19" s="143">
        <v>0.89999999999999991</v>
      </c>
      <c r="BA19" s="142">
        <v>446</v>
      </c>
      <c r="BB19" s="141">
        <v>-0.4</v>
      </c>
      <c r="BC19" s="142">
        <v>11</v>
      </c>
      <c r="BD19" s="141">
        <v>-4.5</v>
      </c>
      <c r="BE19" s="142">
        <v>508</v>
      </c>
      <c r="BF19" s="141">
        <v>-1.6</v>
      </c>
      <c r="BG19" s="142">
        <v>504</v>
      </c>
      <c r="BH19" s="143">
        <v>-1.6</v>
      </c>
      <c r="BI19" s="142">
        <v>530</v>
      </c>
      <c r="BJ19" s="141">
        <v>-0.5</v>
      </c>
      <c r="BK19" s="142">
        <v>1040</v>
      </c>
      <c r="BL19" s="141">
        <v>2.2999999999999998</v>
      </c>
      <c r="BM19" s="142">
        <v>394</v>
      </c>
      <c r="BN19" s="141">
        <v>-0.1</v>
      </c>
      <c r="BO19" s="142">
        <v>337</v>
      </c>
      <c r="BP19" s="143">
        <v>0.1</v>
      </c>
      <c r="BQ19" s="142">
        <v>-215</v>
      </c>
      <c r="BR19" s="141">
        <v>-3</v>
      </c>
      <c r="BS19" s="142">
        <v>-232</v>
      </c>
      <c r="BT19" s="141">
        <v>-1.7999999999999998</v>
      </c>
      <c r="BU19" s="142">
        <v>55</v>
      </c>
      <c r="BV19" s="141">
        <v>0.1</v>
      </c>
      <c r="BW19" s="142">
        <v>-93</v>
      </c>
      <c r="BX19" s="143">
        <v>-2.1999999999999997</v>
      </c>
      <c r="BY19" s="142">
        <v>221</v>
      </c>
      <c r="BZ19" s="141">
        <v>1</v>
      </c>
      <c r="CA19" s="142">
        <v>-186</v>
      </c>
      <c r="CB19" s="141">
        <v>0.4</v>
      </c>
    </row>
    <row r="20" spans="1:80">
      <c r="A20" s="19" t="s">
        <v>107</v>
      </c>
      <c r="B20" s="136">
        <v>3802</v>
      </c>
      <c r="C20" s="146">
        <v>20.100000000000001</v>
      </c>
      <c r="D20" s="136">
        <v>5107.4681666059005</v>
      </c>
      <c r="E20" s="137">
        <v>22.8</v>
      </c>
      <c r="F20" s="136">
        <v>6713</v>
      </c>
      <c r="G20" s="147">
        <v>23.524877365101599</v>
      </c>
      <c r="H20" s="136">
        <v>7435</v>
      </c>
      <c r="I20" s="144">
        <v>24.9</v>
      </c>
      <c r="J20" s="136">
        <v>6639</v>
      </c>
      <c r="K20" s="144">
        <v>24.7</v>
      </c>
      <c r="L20" s="136">
        <v>7808</v>
      </c>
      <c r="M20" s="144">
        <v>26.6</v>
      </c>
      <c r="N20" s="136">
        <v>9277</v>
      </c>
      <c r="O20" s="144">
        <v>24.6</v>
      </c>
      <c r="P20" s="136">
        <v>11792</v>
      </c>
      <c r="Q20" s="144">
        <v>24.8</v>
      </c>
      <c r="R20" s="136">
        <v>11310</v>
      </c>
      <c r="S20" s="144">
        <v>23.1</v>
      </c>
      <c r="U20" s="136">
        <v>1351</v>
      </c>
      <c r="V20" s="137">
        <v>22.7</v>
      </c>
      <c r="W20" s="136">
        <v>1741</v>
      </c>
      <c r="X20" s="137">
        <v>23.8</v>
      </c>
      <c r="Y20" s="136">
        <v>1755</v>
      </c>
      <c r="Z20" s="137">
        <v>24.5</v>
      </c>
      <c r="AA20" s="136">
        <v>1866</v>
      </c>
      <c r="AB20" s="138">
        <v>23.1</v>
      </c>
      <c r="AC20" s="136">
        <v>1707</v>
      </c>
      <c r="AD20" s="144">
        <v>24</v>
      </c>
      <c r="AE20" s="136">
        <v>1961</v>
      </c>
      <c r="AF20" s="137">
        <v>25.5</v>
      </c>
      <c r="AG20" s="136">
        <v>1923</v>
      </c>
      <c r="AH20" s="137">
        <v>26.2</v>
      </c>
      <c r="AI20" s="136">
        <v>1844</v>
      </c>
      <c r="AJ20" s="138">
        <v>23.8</v>
      </c>
      <c r="AK20" s="136">
        <v>1586</v>
      </c>
      <c r="AL20" s="137">
        <v>24.1</v>
      </c>
      <c r="AM20" s="136">
        <v>1441</v>
      </c>
      <c r="AN20" s="137">
        <v>22.400000000000002</v>
      </c>
      <c r="AO20" s="136">
        <v>1646</v>
      </c>
      <c r="AP20" s="137">
        <v>25.4</v>
      </c>
      <c r="AQ20" s="136">
        <v>1966</v>
      </c>
      <c r="AR20" s="138">
        <v>26.400000000000002</v>
      </c>
      <c r="AS20" s="136">
        <v>1696</v>
      </c>
      <c r="AT20" s="137">
        <v>26.5</v>
      </c>
      <c r="AU20" s="136">
        <v>1880</v>
      </c>
      <c r="AV20" s="137">
        <v>26.200000000000003</v>
      </c>
      <c r="AW20" s="136">
        <v>1909</v>
      </c>
      <c r="AX20" s="137">
        <v>26.400000000000002</v>
      </c>
      <c r="AY20" s="136">
        <v>2323</v>
      </c>
      <c r="AZ20" s="138">
        <v>27.3</v>
      </c>
      <c r="BA20" s="136">
        <v>2142</v>
      </c>
      <c r="BB20" s="137">
        <v>26.1</v>
      </c>
      <c r="BC20" s="136">
        <v>1891</v>
      </c>
      <c r="BD20" s="137">
        <v>21.7</v>
      </c>
      <c r="BE20" s="136">
        <v>2417</v>
      </c>
      <c r="BF20" s="137">
        <v>24.8</v>
      </c>
      <c r="BG20" s="136">
        <v>2827</v>
      </c>
      <c r="BH20" s="138">
        <v>25.7</v>
      </c>
      <c r="BI20" s="136">
        <v>2718</v>
      </c>
      <c r="BJ20" s="137">
        <v>25.3</v>
      </c>
      <c r="BK20" s="136">
        <v>2995</v>
      </c>
      <c r="BL20" s="137">
        <v>23.9</v>
      </c>
      <c r="BM20" s="136">
        <v>2868</v>
      </c>
      <c r="BN20" s="137">
        <v>24.5</v>
      </c>
      <c r="BO20" s="136">
        <v>3211</v>
      </c>
      <c r="BP20" s="138">
        <v>25.6</v>
      </c>
      <c r="BQ20" s="136">
        <v>2503</v>
      </c>
      <c r="BR20" s="137">
        <v>22.3</v>
      </c>
      <c r="BS20" s="136">
        <v>2763</v>
      </c>
      <c r="BT20" s="137">
        <v>22.1</v>
      </c>
      <c r="BU20" s="136">
        <v>2923</v>
      </c>
      <c r="BV20" s="137">
        <v>24.6</v>
      </c>
      <c r="BW20" s="136">
        <v>3120</v>
      </c>
      <c r="BX20" s="138">
        <v>23.400000000000002</v>
      </c>
      <c r="BY20" s="136">
        <v>2724</v>
      </c>
      <c r="BZ20" s="137">
        <v>23.3</v>
      </c>
      <c r="CA20" s="136">
        <v>2577</v>
      </c>
      <c r="CB20" s="137">
        <v>22.5</v>
      </c>
    </row>
    <row r="21" spans="1:80">
      <c r="A21" s="19"/>
      <c r="B21" s="136"/>
      <c r="C21" s="22"/>
      <c r="D21" s="136"/>
      <c r="E21" s="22"/>
      <c r="F21" s="136"/>
      <c r="G21" s="22"/>
      <c r="H21" s="136"/>
      <c r="I21" s="22"/>
      <c r="J21" s="136"/>
      <c r="K21" s="22"/>
      <c r="L21" s="136"/>
      <c r="M21" s="22"/>
      <c r="N21" s="136"/>
      <c r="O21" s="22"/>
      <c r="P21" s="136"/>
      <c r="Q21" s="22"/>
      <c r="R21" s="136"/>
      <c r="S21" s="22"/>
      <c r="U21" s="136"/>
      <c r="V21" s="22"/>
      <c r="W21" s="136"/>
      <c r="X21" s="22"/>
      <c r="Y21" s="136"/>
      <c r="Z21" s="22"/>
      <c r="AA21" s="136"/>
      <c r="AB21" s="80"/>
      <c r="AC21" s="136"/>
      <c r="AD21" s="22"/>
      <c r="AE21" s="136"/>
      <c r="AF21" s="22"/>
      <c r="AG21" s="136"/>
      <c r="AH21" s="22"/>
      <c r="AI21" s="136"/>
      <c r="AJ21" s="80"/>
      <c r="AK21" s="136"/>
      <c r="AL21" s="22"/>
      <c r="AM21" s="136"/>
      <c r="AN21" s="22"/>
      <c r="AO21" s="136"/>
      <c r="AP21" s="22"/>
      <c r="AQ21" s="136"/>
      <c r="AR21" s="80"/>
      <c r="AS21" s="136"/>
      <c r="AT21" s="22"/>
      <c r="AU21" s="136"/>
      <c r="AV21" s="22"/>
      <c r="AW21" s="136"/>
      <c r="AX21" s="22"/>
      <c r="AY21" s="136"/>
      <c r="AZ21" s="80"/>
      <c r="BA21" s="136"/>
      <c r="BB21" s="22"/>
      <c r="BC21" s="136"/>
      <c r="BD21" s="22"/>
      <c r="BE21" s="136"/>
      <c r="BF21" s="22"/>
      <c r="BG21" s="136"/>
      <c r="BH21" s="80"/>
      <c r="BI21" s="136"/>
      <c r="BJ21" s="22"/>
      <c r="BK21" s="136"/>
      <c r="BL21" s="22"/>
      <c r="BM21" s="136"/>
      <c r="BN21" s="22"/>
      <c r="BO21" s="136"/>
      <c r="BP21" s="80"/>
      <c r="BQ21" s="136"/>
      <c r="BR21" s="22"/>
      <c r="BS21" s="136"/>
      <c r="BT21" s="22"/>
      <c r="BU21" s="136"/>
      <c r="BV21" s="22"/>
      <c r="BW21" s="136"/>
      <c r="BX21" s="80"/>
      <c r="BY21" s="136"/>
      <c r="BZ21" s="22"/>
      <c r="CA21" s="136"/>
      <c r="CB21" s="22"/>
    </row>
    <row r="22" spans="1:80">
      <c r="A22" s="19"/>
      <c r="B22" s="20"/>
      <c r="C22" s="20"/>
      <c r="D22" s="20"/>
      <c r="E22" s="20"/>
      <c r="F22" s="20"/>
      <c r="G22" s="20"/>
      <c r="H22" s="20"/>
      <c r="I22" s="20"/>
      <c r="J22" s="20"/>
      <c r="K22" s="20"/>
      <c r="L22" s="20"/>
      <c r="M22" s="20"/>
      <c r="N22" s="20"/>
      <c r="O22" s="20"/>
      <c r="P22" s="20"/>
      <c r="Q22" s="20"/>
      <c r="R22" s="20"/>
      <c r="S22" s="20"/>
      <c r="U22" s="20"/>
      <c r="V22" s="20"/>
      <c r="W22" s="20"/>
      <c r="X22" s="20"/>
      <c r="Y22" s="20"/>
      <c r="Z22" s="20"/>
      <c r="AA22" s="20"/>
      <c r="AB22" s="83"/>
      <c r="AC22" s="20"/>
      <c r="AD22" s="20"/>
      <c r="AE22" s="20"/>
      <c r="AF22" s="20"/>
      <c r="AG22" s="20"/>
      <c r="AH22" s="20"/>
      <c r="AI22" s="20"/>
      <c r="AJ22" s="83"/>
      <c r="AK22" s="20"/>
      <c r="AL22" s="20"/>
      <c r="AM22" s="20"/>
      <c r="AN22" s="20"/>
      <c r="AO22" s="20"/>
      <c r="AP22" s="20"/>
      <c r="AQ22" s="20"/>
      <c r="AR22" s="83"/>
      <c r="AS22" s="20"/>
      <c r="AT22" s="20"/>
      <c r="AU22" s="20"/>
      <c r="AV22" s="20"/>
      <c r="AW22" s="20"/>
      <c r="AX22" s="20"/>
      <c r="AY22" s="20"/>
      <c r="AZ22" s="83"/>
      <c r="BA22" s="20"/>
      <c r="BB22" s="20"/>
      <c r="BC22" s="20"/>
      <c r="BD22" s="20"/>
      <c r="BE22" s="20"/>
      <c r="BF22" s="20"/>
      <c r="BG22" s="20"/>
      <c r="BH22" s="83"/>
      <c r="BI22" s="20"/>
      <c r="BJ22" s="20"/>
      <c r="BK22" s="20"/>
      <c r="BL22" s="20"/>
      <c r="BM22" s="20"/>
      <c r="BN22" s="20"/>
      <c r="BO22" s="20"/>
      <c r="BP22" s="83"/>
      <c r="BQ22" s="20"/>
      <c r="BR22" s="20"/>
      <c r="BS22" s="20"/>
      <c r="BT22" s="20"/>
      <c r="BU22" s="20"/>
      <c r="BV22" s="20"/>
      <c r="BW22" s="20"/>
      <c r="BX22" s="83"/>
      <c r="BY22" s="20"/>
      <c r="BZ22" s="20"/>
      <c r="CA22" s="20"/>
      <c r="CB22" s="20"/>
    </row>
    <row r="23" spans="1:80" ht="10.5">
      <c r="A23" s="61" t="s">
        <v>71</v>
      </c>
      <c r="B23" s="1090" t="s">
        <v>102</v>
      </c>
      <c r="C23" s="1090"/>
      <c r="D23" s="1090" t="s">
        <v>103</v>
      </c>
      <c r="E23" s="1090"/>
      <c r="F23" s="1090" t="s">
        <v>168</v>
      </c>
      <c r="G23" s="1090"/>
      <c r="H23" s="1090" t="s">
        <v>218</v>
      </c>
      <c r="I23" s="1090"/>
      <c r="J23" s="1090" t="s">
        <v>259</v>
      </c>
      <c r="K23" s="1090"/>
      <c r="L23" s="1087" t="s">
        <v>398</v>
      </c>
      <c r="M23" s="1087"/>
      <c r="N23" s="1087" t="s">
        <v>485</v>
      </c>
      <c r="O23" s="1087"/>
      <c r="P23" s="1087" t="s">
        <v>837</v>
      </c>
      <c r="Q23" s="1087"/>
      <c r="R23" s="1087" t="s">
        <v>1041</v>
      </c>
      <c r="S23" s="1087"/>
      <c r="U23" s="1090" t="s">
        <v>95</v>
      </c>
      <c r="V23" s="1090"/>
      <c r="W23" s="1090" t="s">
        <v>115</v>
      </c>
      <c r="X23" s="1090"/>
      <c r="Y23" s="1090" t="s">
        <v>120</v>
      </c>
      <c r="Z23" s="1090"/>
      <c r="AA23" s="1090" t="s">
        <v>169</v>
      </c>
      <c r="AB23" s="1094"/>
      <c r="AC23" s="1090" t="s">
        <v>170</v>
      </c>
      <c r="AD23" s="1090"/>
      <c r="AE23" s="1090" t="s">
        <v>187</v>
      </c>
      <c r="AF23" s="1090"/>
      <c r="AG23" s="1090" t="s">
        <v>200</v>
      </c>
      <c r="AH23" s="1090"/>
      <c r="AI23" s="1090" t="s">
        <v>214</v>
      </c>
      <c r="AJ23" s="1094"/>
      <c r="AK23" s="1090" t="s">
        <v>219</v>
      </c>
      <c r="AL23" s="1090"/>
      <c r="AM23" s="1090" t="s">
        <v>226</v>
      </c>
      <c r="AN23" s="1090"/>
      <c r="AO23" s="1092" t="s">
        <v>256</v>
      </c>
      <c r="AP23" s="1092"/>
      <c r="AQ23" s="1092" t="s">
        <v>260</v>
      </c>
      <c r="AR23" s="1093"/>
      <c r="AS23" s="1090" t="s">
        <v>355</v>
      </c>
      <c r="AT23" s="1090"/>
      <c r="AU23" s="1090" t="s">
        <v>362</v>
      </c>
      <c r="AV23" s="1090"/>
      <c r="AW23" s="1090" t="str">
        <f>+AW13</f>
        <v>2021 Q3</v>
      </c>
      <c r="AX23" s="1090"/>
      <c r="AY23" s="1092" t="s">
        <v>397</v>
      </c>
      <c r="AZ23" s="1093"/>
      <c r="BA23" s="1090" t="s">
        <v>452</v>
      </c>
      <c r="BB23" s="1090"/>
      <c r="BC23" s="1090" t="s">
        <v>458</v>
      </c>
      <c r="BD23" s="1090"/>
      <c r="BE23" s="1087" t="s">
        <v>461</v>
      </c>
      <c r="BF23" s="1087"/>
      <c r="BG23" s="1088" t="s">
        <v>484</v>
      </c>
      <c r="BH23" s="1089"/>
      <c r="BI23" s="1090" t="s">
        <v>804</v>
      </c>
      <c r="BJ23" s="1090"/>
      <c r="BK23" s="1087" t="s">
        <v>815</v>
      </c>
      <c r="BL23" s="1087"/>
      <c r="BM23" s="1087" t="s">
        <v>817</v>
      </c>
      <c r="BN23" s="1087"/>
      <c r="BO23" s="1088" t="s">
        <v>836</v>
      </c>
      <c r="BP23" s="1089"/>
      <c r="BQ23" s="1090" t="s">
        <v>873</v>
      </c>
      <c r="BR23" s="1090"/>
      <c r="BS23" s="1087" t="s">
        <v>987</v>
      </c>
      <c r="BT23" s="1087"/>
      <c r="BU23" s="1087" t="s">
        <v>1034</v>
      </c>
      <c r="BV23" s="1087"/>
      <c r="BW23" s="1088" t="s">
        <v>1040</v>
      </c>
      <c r="BX23" s="1089"/>
      <c r="BY23" s="1090" t="s">
        <v>1263</v>
      </c>
      <c r="BZ23" s="1090"/>
      <c r="CA23" s="1087" t="s">
        <v>1286</v>
      </c>
      <c r="CB23" s="1087"/>
    </row>
    <row r="24" spans="1:80" ht="10.5">
      <c r="A24" s="62"/>
      <c r="B24" s="134" t="s">
        <v>207</v>
      </c>
      <c r="C24" s="134" t="s">
        <v>108</v>
      </c>
      <c r="D24" s="134" t="s">
        <v>207</v>
      </c>
      <c r="E24" s="134" t="s">
        <v>108</v>
      </c>
      <c r="F24" s="134" t="s">
        <v>207</v>
      </c>
      <c r="G24" s="134" t="s">
        <v>108</v>
      </c>
      <c r="H24" s="134" t="s">
        <v>207</v>
      </c>
      <c r="I24" s="134" t="s">
        <v>108</v>
      </c>
      <c r="J24" s="134" t="s">
        <v>207</v>
      </c>
      <c r="K24" s="134" t="s">
        <v>108</v>
      </c>
      <c r="L24" s="134" t="s">
        <v>207</v>
      </c>
      <c r="M24" s="134" t="s">
        <v>108</v>
      </c>
      <c r="N24" s="134" t="s">
        <v>207</v>
      </c>
      <c r="O24" s="134" t="s">
        <v>108</v>
      </c>
      <c r="P24" s="134" t="s">
        <v>207</v>
      </c>
      <c r="Q24" s="134" t="s">
        <v>108</v>
      </c>
      <c r="R24" s="134" t="s">
        <v>207</v>
      </c>
      <c r="S24" s="134" t="s">
        <v>108</v>
      </c>
      <c r="U24" s="134" t="s">
        <v>207</v>
      </c>
      <c r="V24" s="134" t="s">
        <v>108</v>
      </c>
      <c r="W24" s="134" t="s">
        <v>207</v>
      </c>
      <c r="X24" s="134" t="s">
        <v>108</v>
      </c>
      <c r="Y24" s="134" t="s">
        <v>207</v>
      </c>
      <c r="Z24" s="134" t="s">
        <v>108</v>
      </c>
      <c r="AA24" s="134" t="s">
        <v>207</v>
      </c>
      <c r="AB24" s="135" t="s">
        <v>108</v>
      </c>
      <c r="AC24" s="134" t="s">
        <v>207</v>
      </c>
      <c r="AD24" s="134" t="s">
        <v>108</v>
      </c>
      <c r="AE24" s="134" t="s">
        <v>207</v>
      </c>
      <c r="AF24" s="134" t="s">
        <v>108</v>
      </c>
      <c r="AG24" s="134" t="s">
        <v>207</v>
      </c>
      <c r="AH24" s="134" t="s">
        <v>108</v>
      </c>
      <c r="AI24" s="134" t="s">
        <v>207</v>
      </c>
      <c r="AJ24" s="135" t="s">
        <v>108</v>
      </c>
      <c r="AK24" s="134" t="s">
        <v>207</v>
      </c>
      <c r="AL24" s="134" t="s">
        <v>108</v>
      </c>
      <c r="AM24" s="134" t="s">
        <v>207</v>
      </c>
      <c r="AN24" s="134" t="s">
        <v>108</v>
      </c>
      <c r="AO24" s="134" t="s">
        <v>207</v>
      </c>
      <c r="AP24" s="134" t="s">
        <v>108</v>
      </c>
      <c r="AQ24" s="134" t="s">
        <v>207</v>
      </c>
      <c r="AR24" s="135" t="s">
        <v>108</v>
      </c>
      <c r="AS24" s="134" t="s">
        <v>207</v>
      </c>
      <c r="AT24" s="134" t="s">
        <v>108</v>
      </c>
      <c r="AU24" s="134" t="s">
        <v>207</v>
      </c>
      <c r="AV24" s="134" t="s">
        <v>108</v>
      </c>
      <c r="AW24" s="134" t="s">
        <v>207</v>
      </c>
      <c r="AX24" s="134" t="s">
        <v>108</v>
      </c>
      <c r="AY24" s="134" t="s">
        <v>207</v>
      </c>
      <c r="AZ24" s="135" t="s">
        <v>108</v>
      </c>
      <c r="BA24" s="134" t="s">
        <v>207</v>
      </c>
      <c r="BB24" s="134" t="s">
        <v>108</v>
      </c>
      <c r="BC24" s="134" t="s">
        <v>207</v>
      </c>
      <c r="BD24" s="134" t="s">
        <v>108</v>
      </c>
      <c r="BE24" s="134" t="s">
        <v>207</v>
      </c>
      <c r="BF24" s="134" t="s">
        <v>108</v>
      </c>
      <c r="BG24" s="134" t="s">
        <v>207</v>
      </c>
      <c r="BH24" s="135" t="s">
        <v>108</v>
      </c>
      <c r="BI24" s="134" t="s">
        <v>207</v>
      </c>
      <c r="BJ24" s="134" t="s">
        <v>108</v>
      </c>
      <c r="BK24" s="134" t="s">
        <v>207</v>
      </c>
      <c r="BL24" s="134" t="s">
        <v>108</v>
      </c>
      <c r="BM24" s="134" t="s">
        <v>207</v>
      </c>
      <c r="BN24" s="134" t="s">
        <v>108</v>
      </c>
      <c r="BO24" s="134" t="s">
        <v>207</v>
      </c>
      <c r="BP24" s="135" t="s">
        <v>108</v>
      </c>
      <c r="BQ24" s="134" t="s">
        <v>207</v>
      </c>
      <c r="BR24" s="134" t="s">
        <v>108</v>
      </c>
      <c r="BS24" s="134" t="s">
        <v>207</v>
      </c>
      <c r="BT24" s="134" t="s">
        <v>108</v>
      </c>
      <c r="BU24" s="134" t="s">
        <v>207</v>
      </c>
      <c r="BV24" s="134" t="s">
        <v>108</v>
      </c>
      <c r="BW24" s="134" t="s">
        <v>207</v>
      </c>
      <c r="BX24" s="135" t="s">
        <v>108</v>
      </c>
      <c r="BY24" s="134" t="s">
        <v>207</v>
      </c>
      <c r="BZ24" s="134" t="s">
        <v>108</v>
      </c>
      <c r="CA24" s="134" t="s">
        <v>207</v>
      </c>
      <c r="CB24" s="134" t="s">
        <v>108</v>
      </c>
    </row>
    <row r="25" spans="1:80">
      <c r="A25" s="23" t="s">
        <v>106</v>
      </c>
      <c r="B25" s="136">
        <v>957</v>
      </c>
      <c r="C25" s="137">
        <v>11.8</v>
      </c>
      <c r="D25" s="136">
        <v>937</v>
      </c>
      <c r="E25" s="137">
        <v>11.82531</v>
      </c>
      <c r="F25" s="136">
        <v>1146</v>
      </c>
      <c r="G25" s="137">
        <v>13.113479999999999</v>
      </c>
      <c r="H25" s="136">
        <v>1239</v>
      </c>
      <c r="I25" s="137">
        <v>13</v>
      </c>
      <c r="J25" s="136">
        <v>1252</v>
      </c>
      <c r="K25" s="137">
        <v>11.600000000000001</v>
      </c>
      <c r="L25" s="136">
        <v>1097</v>
      </c>
      <c r="M25" s="137">
        <v>12.2</v>
      </c>
      <c r="N25" s="136">
        <v>1784</v>
      </c>
      <c r="O25" s="137">
        <v>17.5</v>
      </c>
      <c r="P25" s="136">
        <v>1900</v>
      </c>
      <c r="Q25" s="137">
        <v>17.599999999999998</v>
      </c>
      <c r="R25" s="136">
        <v>1780</v>
      </c>
      <c r="S25" s="137">
        <v>14.000000000000002</v>
      </c>
      <c r="U25" s="136">
        <v>321</v>
      </c>
      <c r="V25" s="137">
        <v>14.8</v>
      </c>
      <c r="W25" s="136">
        <v>328</v>
      </c>
      <c r="X25" s="137">
        <v>14.3</v>
      </c>
      <c r="Y25" s="136">
        <v>279</v>
      </c>
      <c r="Z25" s="137">
        <v>13</v>
      </c>
      <c r="AA25" s="136">
        <v>218</v>
      </c>
      <c r="AB25" s="138">
        <v>10.199999999999999</v>
      </c>
      <c r="AC25" s="136">
        <v>287</v>
      </c>
      <c r="AD25" s="137">
        <v>12.8</v>
      </c>
      <c r="AE25" s="136">
        <v>304</v>
      </c>
      <c r="AF25" s="137">
        <v>12.4</v>
      </c>
      <c r="AG25" s="136">
        <v>324</v>
      </c>
      <c r="AH25" s="137">
        <v>13.600000000000001</v>
      </c>
      <c r="AI25" s="136">
        <v>324</v>
      </c>
      <c r="AJ25" s="138">
        <v>13.3</v>
      </c>
      <c r="AK25" s="136">
        <v>371</v>
      </c>
      <c r="AL25" s="137">
        <v>14.2</v>
      </c>
      <c r="AM25" s="136">
        <v>429</v>
      </c>
      <c r="AN25" s="137">
        <v>14.6</v>
      </c>
      <c r="AO25" s="136">
        <v>157</v>
      </c>
      <c r="AP25" s="137">
        <v>5.7</v>
      </c>
      <c r="AQ25" s="136">
        <v>295</v>
      </c>
      <c r="AR25" s="138">
        <v>11.799999999999999</v>
      </c>
      <c r="AS25" s="136">
        <v>337</v>
      </c>
      <c r="AT25" s="137">
        <v>13.5</v>
      </c>
      <c r="AU25" s="136">
        <v>143</v>
      </c>
      <c r="AV25" s="137">
        <v>7</v>
      </c>
      <c r="AW25" s="136">
        <v>254</v>
      </c>
      <c r="AX25" s="137">
        <v>11.600000000000001</v>
      </c>
      <c r="AY25" s="136">
        <v>363</v>
      </c>
      <c r="AZ25" s="138">
        <v>15.9</v>
      </c>
      <c r="BA25" s="136">
        <v>386</v>
      </c>
      <c r="BB25" s="137">
        <v>16.5</v>
      </c>
      <c r="BC25" s="136">
        <v>416</v>
      </c>
      <c r="BD25" s="137">
        <v>16.5</v>
      </c>
      <c r="BE25" s="136">
        <v>502</v>
      </c>
      <c r="BF25" s="137">
        <v>18.600000000000001</v>
      </c>
      <c r="BG25" s="136">
        <v>480</v>
      </c>
      <c r="BH25" s="138">
        <v>18.2</v>
      </c>
      <c r="BI25" s="136">
        <v>474</v>
      </c>
      <c r="BJ25" s="137">
        <v>18.3</v>
      </c>
      <c r="BK25" s="136">
        <v>436</v>
      </c>
      <c r="BL25" s="137">
        <v>15.6</v>
      </c>
      <c r="BM25" s="136">
        <v>514</v>
      </c>
      <c r="BN25" s="137">
        <v>19</v>
      </c>
      <c r="BO25" s="136">
        <v>476</v>
      </c>
      <c r="BP25" s="138">
        <v>17.5</v>
      </c>
      <c r="BQ25" s="136">
        <v>532</v>
      </c>
      <c r="BR25" s="137">
        <v>17</v>
      </c>
      <c r="BS25" s="136">
        <v>524</v>
      </c>
      <c r="BT25" s="137">
        <v>15.299999999999999</v>
      </c>
      <c r="BU25" s="136">
        <v>481</v>
      </c>
      <c r="BV25" s="137">
        <v>15.1</v>
      </c>
      <c r="BW25" s="136">
        <v>242</v>
      </c>
      <c r="BX25" s="138">
        <v>8.1</v>
      </c>
      <c r="BY25" s="136">
        <v>335</v>
      </c>
      <c r="BZ25" s="137">
        <v>11.4</v>
      </c>
      <c r="CA25" s="136">
        <v>283</v>
      </c>
      <c r="CB25" s="137">
        <v>7.1</v>
      </c>
    </row>
    <row r="26" spans="1:80">
      <c r="A26" s="19" t="s">
        <v>68</v>
      </c>
      <c r="C26" s="139">
        <v>0.2</v>
      </c>
      <c r="D26" s="136"/>
      <c r="E26" s="139">
        <v>0.8</v>
      </c>
      <c r="F26" s="136">
        <v>50</v>
      </c>
      <c r="G26" s="139">
        <v>-0.4</v>
      </c>
      <c r="H26" s="136">
        <v>7</v>
      </c>
      <c r="I26" s="139">
        <v>0.5</v>
      </c>
      <c r="J26" s="136">
        <v>-152</v>
      </c>
      <c r="K26" s="139">
        <v>-0.70000000000000007</v>
      </c>
      <c r="L26" s="136">
        <v>613</v>
      </c>
      <c r="M26" s="139">
        <v>4.3</v>
      </c>
      <c r="N26" s="136">
        <v>99</v>
      </c>
      <c r="O26" s="139">
        <v>0</v>
      </c>
      <c r="P26" s="136">
        <v>-356</v>
      </c>
      <c r="Q26" s="139">
        <v>-2.4</v>
      </c>
      <c r="R26" s="136">
        <v>-305</v>
      </c>
      <c r="S26" s="139">
        <v>-1.4000000000000001</v>
      </c>
      <c r="U26" s="136">
        <v>-17</v>
      </c>
      <c r="V26" s="139">
        <v>-1.6</v>
      </c>
      <c r="W26" s="136">
        <v>-21</v>
      </c>
      <c r="X26" s="139">
        <v>-1.5</v>
      </c>
      <c r="Y26" s="136">
        <v>17</v>
      </c>
      <c r="Z26" s="139">
        <v>0.1</v>
      </c>
      <c r="AA26" s="136">
        <v>71</v>
      </c>
      <c r="AB26" s="140">
        <v>2</v>
      </c>
      <c r="AC26" s="136">
        <v>59</v>
      </c>
      <c r="AD26" s="139">
        <v>1.5</v>
      </c>
      <c r="AE26" s="136">
        <v>70</v>
      </c>
      <c r="AF26" s="139">
        <v>1.9</v>
      </c>
      <c r="AG26" s="136">
        <v>-88</v>
      </c>
      <c r="AH26" s="139">
        <v>-2</v>
      </c>
      <c r="AI26" s="136">
        <v>-34</v>
      </c>
      <c r="AJ26" s="140">
        <v>0.2</v>
      </c>
      <c r="AK26" s="136">
        <v>-69</v>
      </c>
      <c r="AL26" s="139">
        <v>-2</v>
      </c>
      <c r="AM26" s="136">
        <v>-201</v>
      </c>
      <c r="AN26" s="139">
        <v>-5.0999999999999996</v>
      </c>
      <c r="AO26" s="136">
        <v>-40</v>
      </c>
      <c r="AP26" s="139">
        <v>-2.5</v>
      </c>
      <c r="AQ26" s="136">
        <v>160</v>
      </c>
      <c r="AR26" s="140">
        <v>6.3</v>
      </c>
      <c r="AS26" s="136">
        <v>74</v>
      </c>
      <c r="AT26" s="139">
        <v>2.5</v>
      </c>
      <c r="AU26" s="136">
        <v>249</v>
      </c>
      <c r="AV26" s="139">
        <v>8</v>
      </c>
      <c r="AW26" s="136">
        <v>250</v>
      </c>
      <c r="AX26" s="139">
        <v>7.3999999999999995</v>
      </c>
      <c r="AY26" s="136">
        <v>38</v>
      </c>
      <c r="AZ26" s="140">
        <v>0.3</v>
      </c>
      <c r="BA26" s="136">
        <v>64</v>
      </c>
      <c r="BB26" s="139">
        <v>0.89999999999999991</v>
      </c>
      <c r="BC26" s="136">
        <v>66</v>
      </c>
      <c r="BD26" s="139">
        <v>0.89999999999999991</v>
      </c>
      <c r="BE26" s="136">
        <v>2</v>
      </c>
      <c r="BF26" s="139">
        <v>0.2</v>
      </c>
      <c r="BG26" s="136">
        <v>-38</v>
      </c>
      <c r="BH26" s="140">
        <v>-1.4</v>
      </c>
      <c r="BI26" s="136">
        <v>15</v>
      </c>
      <c r="BJ26" s="139">
        <v>0.1</v>
      </c>
      <c r="BK26" s="136">
        <v>-28</v>
      </c>
      <c r="BL26" s="139">
        <v>-0.3</v>
      </c>
      <c r="BM26" s="136">
        <v>-185</v>
      </c>
      <c r="BN26" s="139">
        <v>-5.7</v>
      </c>
      <c r="BO26" s="136">
        <v>-151</v>
      </c>
      <c r="BP26" s="140">
        <v>-3.8</v>
      </c>
      <c r="BQ26" s="136">
        <v>-73</v>
      </c>
      <c r="BR26" s="139">
        <v>-0.8</v>
      </c>
      <c r="BS26" s="136">
        <v>-184</v>
      </c>
      <c r="BT26" s="139">
        <v>-1.5</v>
      </c>
      <c r="BU26" s="136">
        <v>-6</v>
      </c>
      <c r="BV26" s="139">
        <v>0.6</v>
      </c>
      <c r="BW26" s="136">
        <v>-41</v>
      </c>
      <c r="BX26" s="140">
        <v>-1</v>
      </c>
      <c r="BY26" s="136">
        <v>-102</v>
      </c>
      <c r="BZ26" s="139">
        <v>-3.1</v>
      </c>
      <c r="CA26" s="136">
        <v>68</v>
      </c>
      <c r="CB26" s="139">
        <v>2.1</v>
      </c>
    </row>
    <row r="27" spans="1:80">
      <c r="A27" s="19" t="s">
        <v>32</v>
      </c>
      <c r="C27" s="139">
        <v>-7.4689999999999396E-2</v>
      </c>
      <c r="D27" s="136"/>
      <c r="E27" s="139">
        <v>0.88816999999999946</v>
      </c>
      <c r="F27" s="136">
        <v>35</v>
      </c>
      <c r="G27" s="139">
        <v>0.31183346679321844</v>
      </c>
      <c r="H27" s="136">
        <v>133</v>
      </c>
      <c r="I27" s="139">
        <v>0.89999999999999991</v>
      </c>
      <c r="J27" s="136">
        <v>-143</v>
      </c>
      <c r="K27" s="139">
        <v>-0.70000000000000007</v>
      </c>
      <c r="L27" s="136">
        <v>-6</v>
      </c>
      <c r="M27" s="139">
        <v>0.4</v>
      </c>
      <c r="N27" s="136">
        <v>250</v>
      </c>
      <c r="O27" s="139">
        <v>0.6</v>
      </c>
      <c r="P27" s="136">
        <v>82</v>
      </c>
      <c r="Q27" s="139">
        <v>0.3</v>
      </c>
      <c r="R27" s="136">
        <v>24</v>
      </c>
      <c r="S27" s="139">
        <v>0.4</v>
      </c>
      <c r="U27" s="136">
        <v>-21</v>
      </c>
      <c r="V27" s="139">
        <v>-0.3</v>
      </c>
      <c r="W27" s="136">
        <v>-3</v>
      </c>
      <c r="X27" s="139">
        <v>-0.3</v>
      </c>
      <c r="Y27" s="136">
        <v>25</v>
      </c>
      <c r="Z27" s="139">
        <v>0.5</v>
      </c>
      <c r="AA27" s="136">
        <v>34</v>
      </c>
      <c r="AB27" s="140">
        <v>1.0999999999999999</v>
      </c>
      <c r="AC27" s="136">
        <v>23</v>
      </c>
      <c r="AD27" s="139">
        <v>0.4</v>
      </c>
      <c r="AE27" s="136">
        <v>25</v>
      </c>
      <c r="AF27" s="139">
        <v>0.6</v>
      </c>
      <c r="AG27" s="136">
        <v>50</v>
      </c>
      <c r="AH27" s="139">
        <v>1.4000000000000001</v>
      </c>
      <c r="AI27" s="136">
        <v>35</v>
      </c>
      <c r="AJ27" s="140">
        <v>1.2</v>
      </c>
      <c r="AK27" s="136">
        <v>46</v>
      </c>
      <c r="AL27" s="139">
        <v>1.7</v>
      </c>
      <c r="AM27" s="136">
        <v>-26</v>
      </c>
      <c r="AN27" s="139">
        <v>-0.6</v>
      </c>
      <c r="AO27" s="136">
        <v>-52</v>
      </c>
      <c r="AP27" s="139">
        <v>-0.70000000000000007</v>
      </c>
      <c r="AQ27" s="136">
        <v>-113</v>
      </c>
      <c r="AR27" s="140">
        <v>-3.3000000000000003</v>
      </c>
      <c r="AS27" s="136">
        <v>-18</v>
      </c>
      <c r="AT27" s="139">
        <v>0.8</v>
      </c>
      <c r="AU27" s="136">
        <v>-18</v>
      </c>
      <c r="AV27" s="139">
        <v>-0.2</v>
      </c>
      <c r="AW27" s="136">
        <v>-17</v>
      </c>
      <c r="AX27" s="139">
        <v>-0.70000000000000007</v>
      </c>
      <c r="AY27" s="136">
        <v>48</v>
      </c>
      <c r="AZ27" s="140">
        <v>1.5</v>
      </c>
      <c r="BA27" s="136">
        <v>34</v>
      </c>
      <c r="BB27" s="139">
        <v>0.1</v>
      </c>
      <c r="BC27" s="136">
        <v>64</v>
      </c>
      <c r="BD27" s="139">
        <v>0.6</v>
      </c>
      <c r="BE27" s="136">
        <v>74</v>
      </c>
      <c r="BF27" s="139">
        <v>0.5</v>
      </c>
      <c r="BG27" s="136">
        <v>78</v>
      </c>
      <c r="BH27" s="140">
        <v>0.8</v>
      </c>
      <c r="BI27" s="136">
        <v>33</v>
      </c>
      <c r="BJ27" s="139">
        <v>0.2</v>
      </c>
      <c r="BK27" s="136">
        <v>-50</v>
      </c>
      <c r="BL27" s="139">
        <v>-2.4</v>
      </c>
      <c r="BM27" s="136">
        <v>62</v>
      </c>
      <c r="BN27" s="139">
        <v>2.1</v>
      </c>
      <c r="BO27" s="136">
        <v>37</v>
      </c>
      <c r="BP27" s="140">
        <v>1.7000000000000002</v>
      </c>
      <c r="BQ27" s="136">
        <v>-14</v>
      </c>
      <c r="BR27" s="139">
        <v>-0.1</v>
      </c>
      <c r="BS27" s="136">
        <v>64</v>
      </c>
      <c r="BT27" s="139">
        <v>2.1999999999999997</v>
      </c>
      <c r="BU27" s="136">
        <v>-33</v>
      </c>
      <c r="BV27" s="139">
        <v>-0.6</v>
      </c>
      <c r="BW27" s="136">
        <v>7</v>
      </c>
      <c r="BX27" s="140">
        <v>0.1</v>
      </c>
      <c r="BY27" s="136">
        <v>64</v>
      </c>
      <c r="BZ27" s="139">
        <v>2.2999999999999998</v>
      </c>
      <c r="CA27" s="136">
        <v>-42</v>
      </c>
      <c r="CB27" s="139">
        <v>-0.1</v>
      </c>
    </row>
    <row r="28" spans="1:80">
      <c r="A28" s="19" t="s">
        <v>114</v>
      </c>
      <c r="C28" s="139">
        <v>-0.1</v>
      </c>
      <c r="D28" s="136"/>
      <c r="E28" s="139">
        <v>-0.4</v>
      </c>
      <c r="F28" s="136">
        <v>8</v>
      </c>
      <c r="G28" s="139">
        <v>-2.6314952151107414E-2</v>
      </c>
      <c r="H28" s="136">
        <v>-127</v>
      </c>
      <c r="I28" s="139">
        <v>-2.8000000000000003</v>
      </c>
      <c r="J28" s="136">
        <v>140</v>
      </c>
      <c r="K28" s="139">
        <v>2</v>
      </c>
      <c r="L28" s="136">
        <v>80</v>
      </c>
      <c r="M28" s="139">
        <v>0.6</v>
      </c>
      <c r="N28" s="136">
        <v>-19</v>
      </c>
      <c r="O28" s="139">
        <v>-0.6</v>
      </c>
      <c r="P28" s="136">
        <v>154</v>
      </c>
      <c r="Q28" s="139">
        <v>-1.5</v>
      </c>
      <c r="R28" s="136">
        <v>-126</v>
      </c>
      <c r="S28" s="139">
        <v>-3.5999999999999996</v>
      </c>
      <c r="U28" s="136">
        <v>4</v>
      </c>
      <c r="V28" s="139">
        <v>0</v>
      </c>
      <c r="W28" s="136">
        <v>0</v>
      </c>
      <c r="X28" s="139">
        <v>-0.1</v>
      </c>
      <c r="Y28" s="136">
        <v>3</v>
      </c>
      <c r="Z28" s="139">
        <v>0</v>
      </c>
      <c r="AA28" s="136">
        <v>1</v>
      </c>
      <c r="AB28" s="140">
        <v>0</v>
      </c>
      <c r="AC28" s="136">
        <v>2</v>
      </c>
      <c r="AD28" s="139">
        <v>-0.5</v>
      </c>
      <c r="AE28" s="136">
        <v>30</v>
      </c>
      <c r="AF28" s="139">
        <v>-0.3</v>
      </c>
      <c r="AG28" s="136">
        <v>-129</v>
      </c>
      <c r="AH28" s="139">
        <v>-7.3</v>
      </c>
      <c r="AI28" s="136">
        <v>-30</v>
      </c>
      <c r="AJ28" s="140">
        <v>-2.9000000000000004</v>
      </c>
      <c r="AK28" s="136">
        <v>-11</v>
      </c>
      <c r="AL28" s="139">
        <v>-0.4</v>
      </c>
      <c r="AM28" s="136">
        <v>-59</v>
      </c>
      <c r="AN28" s="139">
        <v>-1.9</v>
      </c>
      <c r="AO28" s="20">
        <v>189</v>
      </c>
      <c r="AP28" s="139">
        <v>9.1</v>
      </c>
      <c r="AQ28" s="20">
        <v>21</v>
      </c>
      <c r="AR28" s="140">
        <v>1.0999999999999999</v>
      </c>
      <c r="AS28" s="136">
        <v>-7</v>
      </c>
      <c r="AT28" s="139">
        <v>-0.3</v>
      </c>
      <c r="AU28" s="136">
        <v>42</v>
      </c>
      <c r="AV28" s="139">
        <v>1.7000000000000002</v>
      </c>
      <c r="AW28" s="136">
        <v>15</v>
      </c>
      <c r="AX28" s="139">
        <v>0.3</v>
      </c>
      <c r="AY28" s="20">
        <v>31</v>
      </c>
      <c r="AZ28" s="140">
        <v>0.5</v>
      </c>
      <c r="BA28" s="136">
        <v>36</v>
      </c>
      <c r="BB28" s="139">
        <v>0.6</v>
      </c>
      <c r="BC28" s="136">
        <v>-46</v>
      </c>
      <c r="BD28" s="139">
        <v>-2.1</v>
      </c>
      <c r="BE28" s="136">
        <v>-7</v>
      </c>
      <c r="BF28" s="139">
        <v>-0.5</v>
      </c>
      <c r="BG28" s="20">
        <v>3</v>
      </c>
      <c r="BH28" s="140">
        <v>-0.1</v>
      </c>
      <c r="BI28" s="136">
        <v>10</v>
      </c>
      <c r="BJ28" s="139">
        <v>-1.6</v>
      </c>
      <c r="BK28" s="136">
        <v>166</v>
      </c>
      <c r="BL28" s="139">
        <v>2.4</v>
      </c>
      <c r="BM28" s="136">
        <v>90</v>
      </c>
      <c r="BN28" s="139">
        <v>-0.3</v>
      </c>
      <c r="BO28" s="20">
        <v>-119</v>
      </c>
      <c r="BP28" s="140">
        <v>-7.3</v>
      </c>
      <c r="BQ28" s="136">
        <v>-110</v>
      </c>
      <c r="BR28" s="139">
        <v>-4.7</v>
      </c>
      <c r="BS28" s="136">
        <v>-121</v>
      </c>
      <c r="BT28" s="139">
        <v>-8.9</v>
      </c>
      <c r="BU28" s="136">
        <v>-13</v>
      </c>
      <c r="BV28" s="139">
        <v>-3.8</v>
      </c>
      <c r="BW28" s="20">
        <v>118</v>
      </c>
      <c r="BX28" s="140">
        <v>1.2</v>
      </c>
      <c r="BY28" s="136">
        <v>164</v>
      </c>
      <c r="BZ28" s="139">
        <v>1.5</v>
      </c>
      <c r="CA28" s="136">
        <v>67</v>
      </c>
      <c r="CB28" s="139">
        <v>1.2</v>
      </c>
    </row>
    <row r="29" spans="1:80">
      <c r="A29" s="21" t="s">
        <v>81</v>
      </c>
      <c r="B29" s="145"/>
      <c r="C29" s="141">
        <v>2.531000000000061E-2</v>
      </c>
      <c r="D29" s="142"/>
      <c r="E29" s="141">
        <v>1.2881699999999996</v>
      </c>
      <c r="F29" s="142">
        <v>93</v>
      </c>
      <c r="G29" s="141">
        <v>-0.10000000000000009</v>
      </c>
      <c r="H29" s="142">
        <v>13</v>
      </c>
      <c r="I29" s="141">
        <v>-1.4000000000000001</v>
      </c>
      <c r="J29" s="142">
        <v>-155</v>
      </c>
      <c r="K29" s="141">
        <v>0.6</v>
      </c>
      <c r="L29" s="142">
        <v>687</v>
      </c>
      <c r="M29" s="141">
        <v>5.3</v>
      </c>
      <c r="N29" s="142">
        <v>330</v>
      </c>
      <c r="O29" s="141">
        <v>0</v>
      </c>
      <c r="P29" s="142">
        <v>-120</v>
      </c>
      <c r="Q29" s="141">
        <v>-3.5999999999999996</v>
      </c>
      <c r="R29" s="142">
        <v>-407</v>
      </c>
      <c r="S29" s="141">
        <v>-4.5999999999999996</v>
      </c>
      <c r="U29" s="142">
        <v>-34</v>
      </c>
      <c r="V29" s="141">
        <v>-2</v>
      </c>
      <c r="W29" s="142">
        <v>-24</v>
      </c>
      <c r="X29" s="141">
        <v>-1.9</v>
      </c>
      <c r="Y29" s="142">
        <v>45</v>
      </c>
      <c r="Z29" s="141">
        <v>0.6</v>
      </c>
      <c r="AA29" s="142">
        <v>106</v>
      </c>
      <c r="AB29" s="143">
        <v>3.1</v>
      </c>
      <c r="AC29" s="142">
        <v>84</v>
      </c>
      <c r="AD29" s="141">
        <v>1.4000000000000001</v>
      </c>
      <c r="AE29" s="142">
        <v>125</v>
      </c>
      <c r="AF29" s="141">
        <v>2.1999999999999997</v>
      </c>
      <c r="AG29" s="142">
        <v>-167</v>
      </c>
      <c r="AH29" s="141">
        <v>-7.9</v>
      </c>
      <c r="AI29" s="142">
        <v>-29</v>
      </c>
      <c r="AJ29" s="143">
        <v>-1.5</v>
      </c>
      <c r="AK29" s="142">
        <v>-34</v>
      </c>
      <c r="AL29" s="141">
        <v>-0.7</v>
      </c>
      <c r="AM29" s="142">
        <v>-286</v>
      </c>
      <c r="AN29" s="141">
        <v>-7.6</v>
      </c>
      <c r="AO29" s="142">
        <v>97</v>
      </c>
      <c r="AP29" s="141">
        <v>5.8999999999999995</v>
      </c>
      <c r="AQ29" s="142">
        <v>68</v>
      </c>
      <c r="AR29" s="143">
        <v>4.1000000000000005</v>
      </c>
      <c r="AS29" s="142">
        <v>49</v>
      </c>
      <c r="AT29" s="141">
        <v>3</v>
      </c>
      <c r="AU29" s="142">
        <v>273</v>
      </c>
      <c r="AV29" s="141">
        <v>9.5</v>
      </c>
      <c r="AW29" s="142">
        <v>248</v>
      </c>
      <c r="AX29" s="141">
        <v>7.0000000000000009</v>
      </c>
      <c r="AY29" s="142">
        <v>117</v>
      </c>
      <c r="AZ29" s="143">
        <v>2.2999999999999998</v>
      </c>
      <c r="BA29" s="142">
        <v>134</v>
      </c>
      <c r="BB29" s="141">
        <v>1.6</v>
      </c>
      <c r="BC29" s="142">
        <v>84</v>
      </c>
      <c r="BD29" s="141">
        <v>-0.6</v>
      </c>
      <c r="BE29" s="142">
        <v>69</v>
      </c>
      <c r="BF29" s="141">
        <v>0.2</v>
      </c>
      <c r="BG29" s="142">
        <v>43</v>
      </c>
      <c r="BH29" s="143">
        <v>-0.7</v>
      </c>
      <c r="BI29" s="142">
        <v>58</v>
      </c>
      <c r="BJ29" s="141">
        <v>-1.3</v>
      </c>
      <c r="BK29" s="142">
        <v>88</v>
      </c>
      <c r="BL29" s="141">
        <v>-0.3</v>
      </c>
      <c r="BM29" s="142">
        <v>-33</v>
      </c>
      <c r="BN29" s="141">
        <v>-3.9</v>
      </c>
      <c r="BO29" s="142">
        <v>-233</v>
      </c>
      <c r="BP29" s="143">
        <v>-9.4</v>
      </c>
      <c r="BQ29" s="142">
        <v>-197</v>
      </c>
      <c r="BR29" s="141">
        <v>-5.6000000000000005</v>
      </c>
      <c r="BS29" s="142">
        <v>-241</v>
      </c>
      <c r="BT29" s="141">
        <v>-8.2000000000000011</v>
      </c>
      <c r="BU29" s="142">
        <v>-52</v>
      </c>
      <c r="BV29" s="141">
        <v>-3.8</v>
      </c>
      <c r="BW29" s="142">
        <v>84</v>
      </c>
      <c r="BX29" s="143">
        <v>0.3</v>
      </c>
      <c r="BY29" s="142">
        <v>126</v>
      </c>
      <c r="BZ29" s="141">
        <v>0.70000000000000007</v>
      </c>
      <c r="CA29" s="142">
        <v>93</v>
      </c>
      <c r="CB29" s="141">
        <v>3.2</v>
      </c>
    </row>
    <row r="30" spans="1:80">
      <c r="A30" s="19" t="s">
        <v>107</v>
      </c>
      <c r="B30" s="136">
        <v>937</v>
      </c>
      <c r="C30" s="137">
        <v>11.8</v>
      </c>
      <c r="D30" s="136">
        <v>1146</v>
      </c>
      <c r="E30" s="137">
        <v>13.113479999999999</v>
      </c>
      <c r="F30" s="136">
        <v>1239</v>
      </c>
      <c r="G30" s="137">
        <v>13.011790000000001</v>
      </c>
      <c r="H30" s="136">
        <v>1252</v>
      </c>
      <c r="I30" s="137">
        <v>11.600000000000001</v>
      </c>
      <c r="J30" s="136">
        <v>1097</v>
      </c>
      <c r="K30" s="137">
        <v>12.2</v>
      </c>
      <c r="L30" s="136">
        <v>1784</v>
      </c>
      <c r="M30" s="137">
        <v>17.5</v>
      </c>
      <c r="N30" s="136">
        <v>2114</v>
      </c>
      <c r="O30" s="137">
        <v>17.5</v>
      </c>
      <c r="P30" s="136">
        <v>1780</v>
      </c>
      <c r="Q30" s="137">
        <v>14.000000000000002</v>
      </c>
      <c r="R30" s="136">
        <v>1373</v>
      </c>
      <c r="S30" s="137">
        <v>9.4</v>
      </c>
      <c r="U30" s="136">
        <v>287</v>
      </c>
      <c r="V30" s="137">
        <v>12.8</v>
      </c>
      <c r="W30" s="136">
        <v>304</v>
      </c>
      <c r="X30" s="137">
        <v>12.4</v>
      </c>
      <c r="Y30" s="136">
        <v>324</v>
      </c>
      <c r="Z30" s="137">
        <v>13.600000000000001</v>
      </c>
      <c r="AA30" s="136">
        <v>324</v>
      </c>
      <c r="AB30" s="138">
        <v>13.3</v>
      </c>
      <c r="AC30" s="136">
        <v>371</v>
      </c>
      <c r="AD30" s="137">
        <v>14.2</v>
      </c>
      <c r="AE30" s="136">
        <v>429</v>
      </c>
      <c r="AF30" s="137">
        <v>14.6</v>
      </c>
      <c r="AG30" s="136">
        <v>157</v>
      </c>
      <c r="AH30" s="137">
        <v>5.7</v>
      </c>
      <c r="AI30" s="136">
        <v>295</v>
      </c>
      <c r="AJ30" s="138">
        <v>11.799999999999999</v>
      </c>
      <c r="AK30" s="136">
        <v>337</v>
      </c>
      <c r="AL30" s="137">
        <v>13.5</v>
      </c>
      <c r="AM30" s="136">
        <v>143</v>
      </c>
      <c r="AN30" s="137">
        <v>7.0000000000000009</v>
      </c>
      <c r="AO30" s="136">
        <v>254</v>
      </c>
      <c r="AP30" s="137">
        <v>11.600000000000001</v>
      </c>
      <c r="AQ30" s="136">
        <v>363</v>
      </c>
      <c r="AR30" s="138">
        <v>15.9</v>
      </c>
      <c r="AS30" s="136">
        <v>386</v>
      </c>
      <c r="AT30" s="137">
        <v>16.5</v>
      </c>
      <c r="AU30" s="136">
        <v>416</v>
      </c>
      <c r="AV30" s="137">
        <v>16.5</v>
      </c>
      <c r="AW30" s="136">
        <v>502</v>
      </c>
      <c r="AX30" s="137">
        <v>18.600000000000001</v>
      </c>
      <c r="AY30" s="136">
        <v>480</v>
      </c>
      <c r="AZ30" s="138">
        <v>18.2</v>
      </c>
      <c r="BA30" s="136">
        <v>520</v>
      </c>
      <c r="BB30" s="137">
        <v>18.099999999999998</v>
      </c>
      <c r="BC30" s="136">
        <v>500</v>
      </c>
      <c r="BD30" s="137">
        <v>15.9</v>
      </c>
      <c r="BE30" s="136">
        <v>571</v>
      </c>
      <c r="BF30" s="137">
        <v>18.8</v>
      </c>
      <c r="BG30" s="136">
        <v>523</v>
      </c>
      <c r="BH30" s="138">
        <v>17.5</v>
      </c>
      <c r="BI30" s="136">
        <v>532</v>
      </c>
      <c r="BJ30" s="137">
        <v>17</v>
      </c>
      <c r="BK30" s="136">
        <v>524</v>
      </c>
      <c r="BL30" s="137">
        <v>15.3</v>
      </c>
      <c r="BM30" s="136">
        <v>481</v>
      </c>
      <c r="BN30" s="137">
        <v>15.1</v>
      </c>
      <c r="BO30" s="136">
        <v>243</v>
      </c>
      <c r="BP30" s="138">
        <v>8.1</v>
      </c>
      <c r="BQ30" s="136">
        <v>335</v>
      </c>
      <c r="BR30" s="137">
        <v>11.4</v>
      </c>
      <c r="BS30" s="136">
        <v>283</v>
      </c>
      <c r="BT30" s="137">
        <v>7.1</v>
      </c>
      <c r="BU30" s="136">
        <v>429</v>
      </c>
      <c r="BV30" s="137">
        <v>11.3</v>
      </c>
      <c r="BW30" s="136">
        <v>326</v>
      </c>
      <c r="BX30" s="138">
        <v>8.4</v>
      </c>
      <c r="BY30" s="136">
        <v>461</v>
      </c>
      <c r="BZ30" s="137">
        <v>12.1</v>
      </c>
      <c r="CA30" s="136">
        <v>376</v>
      </c>
      <c r="CB30" s="137">
        <v>10.299999999999999</v>
      </c>
    </row>
    <row r="31" spans="1:80">
      <c r="D31" s="136"/>
      <c r="E31" s="137"/>
      <c r="F31" s="136"/>
      <c r="G31" s="137"/>
      <c r="H31" s="136"/>
      <c r="I31" s="137"/>
      <c r="J31" s="136"/>
      <c r="K31" s="137"/>
      <c r="L31" s="136"/>
      <c r="M31" s="137"/>
      <c r="N31" s="136"/>
      <c r="O31" s="137"/>
      <c r="P31" s="136"/>
      <c r="Q31" s="137"/>
      <c r="R31" s="136"/>
      <c r="S31" s="137"/>
      <c r="T31" s="137"/>
      <c r="U31" s="137"/>
      <c r="V31" s="137"/>
      <c r="W31" s="137"/>
      <c r="X31" s="137"/>
      <c r="Y31" s="137"/>
      <c r="Z31" s="137"/>
      <c r="AA31" s="137"/>
      <c r="AB31" s="138"/>
      <c r="AC31" s="137"/>
    </row>
    <row r="32" spans="1:80">
      <c r="F32" s="148"/>
      <c r="G32" s="149"/>
      <c r="H32" s="148"/>
      <c r="I32" s="149"/>
      <c r="J32" s="148"/>
      <c r="K32" s="137"/>
      <c r="L32" s="148"/>
      <c r="M32" s="137"/>
      <c r="N32" s="148"/>
      <c r="O32" s="137"/>
      <c r="P32" s="148"/>
      <c r="Q32" s="137"/>
      <c r="R32" s="148"/>
      <c r="S32" s="137"/>
      <c r="T32" s="137"/>
      <c r="U32" s="137"/>
      <c r="V32" s="137"/>
      <c r="W32" s="137"/>
      <c r="X32" s="137"/>
      <c r="Y32" s="137"/>
      <c r="Z32" s="137"/>
      <c r="AA32" s="137"/>
      <c r="AB32" s="138"/>
      <c r="AC32" s="137"/>
      <c r="AD32" s="149"/>
      <c r="AE32" s="148"/>
      <c r="AF32" s="149"/>
      <c r="AG32" s="148"/>
      <c r="AH32" s="149"/>
      <c r="AI32" s="148"/>
      <c r="AJ32" s="629"/>
      <c r="AK32" s="148"/>
      <c r="AL32" s="149"/>
      <c r="AS32" s="150"/>
      <c r="AT32" s="149"/>
      <c r="BA32" s="150"/>
      <c r="BB32" s="149"/>
      <c r="BI32" s="150"/>
      <c r="BJ32" s="149"/>
      <c r="BQ32" s="150"/>
      <c r="BR32" s="149"/>
      <c r="BY32" s="150"/>
      <c r="BZ32" s="149"/>
    </row>
    <row r="33" spans="1:64">
      <c r="A33" s="54" t="s">
        <v>228</v>
      </c>
      <c r="K33" s="137"/>
      <c r="M33" s="137"/>
      <c r="O33" s="137"/>
      <c r="Q33" s="137"/>
      <c r="S33" s="137"/>
      <c r="T33" s="137"/>
      <c r="U33" s="137"/>
      <c r="V33" s="137"/>
      <c r="W33" s="137"/>
      <c r="X33" s="137"/>
      <c r="Y33" s="137"/>
      <c r="Z33" s="137"/>
      <c r="AA33" s="137"/>
      <c r="AB33" s="138"/>
      <c r="AC33" s="137"/>
    </row>
    <row r="34" spans="1:64">
      <c r="K34" s="137"/>
      <c r="M34" s="137"/>
      <c r="O34" s="137"/>
      <c r="Q34" s="137"/>
      <c r="S34" s="137"/>
      <c r="T34" s="137"/>
      <c r="U34" s="137"/>
      <c r="V34" s="137"/>
      <c r="W34" s="137"/>
      <c r="X34" s="137"/>
      <c r="Y34" s="137"/>
      <c r="Z34" s="137"/>
      <c r="AA34" s="137"/>
      <c r="AB34" s="138"/>
      <c r="AC34" s="137"/>
    </row>
    <row r="35" spans="1:64">
      <c r="K35" s="137"/>
      <c r="M35" s="137"/>
      <c r="O35" s="137"/>
      <c r="Q35" s="137"/>
      <c r="S35" s="137"/>
      <c r="T35" s="137"/>
      <c r="U35" s="137"/>
      <c r="V35" s="137"/>
      <c r="W35" s="137"/>
      <c r="X35" s="137"/>
      <c r="Y35" s="137"/>
      <c r="Z35" s="137"/>
      <c r="AA35" s="137"/>
      <c r="AB35" s="138"/>
      <c r="AC35" s="137"/>
    </row>
    <row r="36" spans="1:64">
      <c r="K36" s="137"/>
      <c r="M36" s="137"/>
      <c r="O36" s="137"/>
      <c r="Q36" s="137"/>
      <c r="S36" s="137"/>
      <c r="T36" s="137"/>
      <c r="U36" s="137"/>
      <c r="V36" s="137"/>
      <c r="W36" s="137"/>
      <c r="X36" s="137"/>
      <c r="Y36" s="137"/>
      <c r="Z36" s="137"/>
      <c r="AA36" s="137"/>
      <c r="AB36" s="138"/>
      <c r="AC36" s="137"/>
    </row>
    <row r="37" spans="1:64">
      <c r="C37" s="151"/>
      <c r="G37" s="152"/>
      <c r="K37" s="137"/>
      <c r="M37" s="137"/>
      <c r="O37" s="137"/>
      <c r="Q37" s="137"/>
      <c r="S37" s="137"/>
      <c r="T37" s="137"/>
      <c r="U37" s="137"/>
      <c r="V37" s="137"/>
      <c r="W37" s="137"/>
      <c r="X37" s="137"/>
      <c r="Y37" s="137"/>
      <c r="Z37" s="137"/>
      <c r="AA37" s="137"/>
      <c r="AB37" s="138"/>
      <c r="AC37" s="137"/>
    </row>
    <row r="38" spans="1:64">
      <c r="C38" s="153"/>
      <c r="K38" s="137"/>
      <c r="M38" s="137"/>
      <c r="O38" s="137"/>
      <c r="Q38" s="137"/>
      <c r="S38" s="137"/>
      <c r="T38" s="137"/>
      <c r="U38" s="137"/>
      <c r="V38" s="137"/>
      <c r="W38" s="137"/>
      <c r="X38" s="137"/>
      <c r="Y38" s="137"/>
      <c r="Z38" s="137"/>
      <c r="AA38" s="137"/>
      <c r="AB38" s="138"/>
      <c r="AC38" s="137"/>
    </row>
    <row r="39" spans="1:64">
      <c r="K39" s="137"/>
      <c r="M39" s="137"/>
      <c r="O39" s="137"/>
      <c r="Q39" s="137"/>
      <c r="S39" s="137"/>
      <c r="T39" s="137"/>
      <c r="U39" s="137"/>
      <c r="V39" s="137"/>
      <c r="W39" s="137"/>
      <c r="X39" s="137"/>
      <c r="Y39" s="137"/>
      <c r="Z39" s="137"/>
      <c r="AA39" s="137"/>
      <c r="AB39" s="138"/>
      <c r="AC39" s="137"/>
    </row>
    <row r="40" spans="1:64">
      <c r="K40" s="137"/>
      <c r="M40" s="137"/>
      <c r="O40" s="137"/>
      <c r="Q40" s="137"/>
      <c r="S40" s="137"/>
      <c r="T40" s="137"/>
      <c r="U40" s="137"/>
      <c r="V40" s="137"/>
      <c r="W40" s="137"/>
      <c r="X40" s="137"/>
      <c r="Y40" s="137"/>
      <c r="Z40" s="137"/>
      <c r="AA40" s="137"/>
      <c r="AB40" s="138"/>
      <c r="AC40" s="137"/>
    </row>
    <row r="41" spans="1:64">
      <c r="K41" s="137"/>
      <c r="M41" s="137"/>
      <c r="O41" s="137"/>
      <c r="Q41" s="137"/>
      <c r="S41" s="137"/>
      <c r="T41" s="137"/>
      <c r="U41" s="137"/>
      <c r="V41" s="137"/>
      <c r="W41" s="137"/>
      <c r="X41" s="137"/>
      <c r="Y41" s="137"/>
      <c r="Z41" s="137"/>
      <c r="AA41" s="137"/>
      <c r="AB41" s="138"/>
      <c r="AC41" s="137"/>
      <c r="BI41" s="148"/>
      <c r="BJ41" s="148"/>
      <c r="BK41" s="148"/>
      <c r="BL41" s="148"/>
    </row>
    <row r="42" spans="1:64">
      <c r="K42" s="137"/>
      <c r="M42" s="137"/>
      <c r="O42" s="137"/>
      <c r="Q42" s="137"/>
      <c r="S42" s="137"/>
      <c r="T42" s="137"/>
      <c r="U42" s="137"/>
      <c r="V42" s="137"/>
      <c r="W42" s="137"/>
      <c r="X42" s="137"/>
      <c r="Y42" s="137"/>
      <c r="Z42" s="137"/>
      <c r="AA42" s="137"/>
      <c r="AB42" s="138"/>
      <c r="AC42" s="137"/>
      <c r="BI42" s="148"/>
      <c r="BJ42" s="148"/>
      <c r="BK42" s="148"/>
      <c r="BL42" s="148"/>
    </row>
    <row r="43" spans="1:64">
      <c r="K43" s="137"/>
      <c r="M43" s="137"/>
      <c r="O43" s="137"/>
      <c r="Q43" s="137"/>
      <c r="S43" s="137"/>
      <c r="T43" s="137"/>
      <c r="U43" s="137"/>
      <c r="V43" s="137"/>
      <c r="W43" s="137"/>
      <c r="X43" s="137"/>
      <c r="Y43" s="137"/>
      <c r="Z43" s="137"/>
      <c r="AA43" s="137"/>
      <c r="AB43" s="138"/>
      <c r="AC43" s="137"/>
      <c r="BI43" s="148"/>
      <c r="BJ43" s="148"/>
      <c r="BK43" s="148"/>
      <c r="BL43" s="148"/>
    </row>
    <row r="44" spans="1:64">
      <c r="K44" s="137"/>
      <c r="M44" s="137"/>
      <c r="O44" s="137"/>
      <c r="Q44" s="137"/>
      <c r="S44" s="137"/>
      <c r="T44" s="137"/>
      <c r="U44" s="137"/>
      <c r="V44" s="137"/>
      <c r="W44" s="137"/>
      <c r="X44" s="137"/>
      <c r="Y44" s="137"/>
      <c r="Z44" s="137"/>
      <c r="AA44" s="137"/>
      <c r="AB44" s="138"/>
      <c r="AC44" s="137"/>
      <c r="BI44" s="148"/>
      <c r="BJ44" s="148"/>
      <c r="BK44" s="148"/>
      <c r="BL44" s="148"/>
    </row>
    <row r="45" spans="1:64">
      <c r="K45" s="137"/>
      <c r="M45" s="137"/>
      <c r="O45" s="137"/>
      <c r="Q45" s="137"/>
      <c r="S45" s="137"/>
      <c r="T45" s="137"/>
      <c r="U45" s="137"/>
      <c r="V45" s="137"/>
      <c r="W45" s="137"/>
      <c r="X45" s="137"/>
      <c r="Y45" s="137"/>
      <c r="Z45" s="137"/>
      <c r="AA45" s="137"/>
      <c r="AB45" s="138"/>
      <c r="AC45" s="137"/>
    </row>
    <row r="46" spans="1:64">
      <c r="K46" s="137"/>
      <c r="M46" s="137"/>
      <c r="O46" s="137"/>
      <c r="Q46" s="137"/>
      <c r="S46" s="137"/>
      <c r="T46" s="137"/>
      <c r="U46" s="137"/>
      <c r="V46" s="137"/>
      <c r="W46" s="137"/>
      <c r="X46" s="137"/>
      <c r="Y46" s="137"/>
      <c r="Z46" s="137"/>
      <c r="AA46" s="137"/>
      <c r="AB46" s="138"/>
      <c r="AC46" s="137"/>
    </row>
    <row r="47" spans="1:64">
      <c r="K47" s="137"/>
      <c r="M47" s="137"/>
      <c r="O47" s="137"/>
      <c r="Q47" s="137"/>
      <c r="S47" s="137"/>
      <c r="T47" s="137"/>
      <c r="U47" s="137"/>
      <c r="V47" s="137"/>
      <c r="W47" s="137"/>
      <c r="X47" s="137"/>
      <c r="Y47" s="137"/>
      <c r="Z47" s="137"/>
      <c r="AA47" s="137"/>
      <c r="AB47" s="138"/>
      <c r="AC47" s="137"/>
    </row>
    <row r="48" spans="1:64">
      <c r="F48" s="148"/>
      <c r="H48" s="148"/>
      <c r="J48" s="148"/>
      <c r="K48" s="137"/>
      <c r="L48" s="148"/>
      <c r="M48" s="137"/>
      <c r="N48" s="148"/>
      <c r="O48" s="137"/>
      <c r="P48" s="148"/>
      <c r="Q48" s="137"/>
      <c r="R48" s="148"/>
      <c r="S48" s="137"/>
      <c r="T48" s="137"/>
      <c r="U48" s="137"/>
      <c r="V48" s="137"/>
      <c r="W48" s="137"/>
      <c r="X48" s="137"/>
      <c r="Y48" s="137"/>
      <c r="Z48" s="137"/>
      <c r="AA48" s="137"/>
      <c r="AB48" s="138"/>
      <c r="AC48" s="137"/>
    </row>
    <row r="49" spans="3:80">
      <c r="K49" s="137"/>
      <c r="M49" s="137"/>
      <c r="O49" s="137"/>
      <c r="Q49" s="137"/>
      <c r="S49" s="137"/>
      <c r="T49" s="137"/>
      <c r="U49" s="137"/>
      <c r="V49" s="137"/>
      <c r="W49" s="137"/>
      <c r="X49" s="137"/>
      <c r="Y49" s="137"/>
      <c r="Z49" s="137"/>
      <c r="AA49" s="137"/>
      <c r="AB49" s="138"/>
      <c r="AC49" s="137"/>
    </row>
    <row r="50" spans="3:80">
      <c r="K50" s="137"/>
      <c r="M50" s="137"/>
      <c r="O50" s="137"/>
      <c r="Q50" s="137"/>
      <c r="S50" s="137"/>
      <c r="T50" s="137"/>
      <c r="U50" s="137"/>
      <c r="V50" s="137"/>
      <c r="W50" s="137"/>
      <c r="X50" s="137"/>
      <c r="Y50" s="137"/>
      <c r="Z50" s="137"/>
      <c r="AA50" s="137"/>
      <c r="AB50" s="138"/>
      <c r="AC50" s="137"/>
    </row>
    <row r="51" spans="3:80">
      <c r="C51" s="148"/>
      <c r="E51" s="148"/>
      <c r="F51" s="148"/>
      <c r="G51" s="148"/>
      <c r="H51" s="148"/>
      <c r="I51" s="148"/>
      <c r="J51" s="148"/>
      <c r="K51" s="137"/>
      <c r="L51" s="148"/>
      <c r="M51" s="137"/>
      <c r="N51" s="148"/>
      <c r="O51" s="137"/>
      <c r="P51" s="148"/>
      <c r="Q51" s="137"/>
      <c r="R51" s="148"/>
      <c r="S51" s="137"/>
      <c r="T51" s="137"/>
      <c r="U51" s="137"/>
      <c r="V51" s="137"/>
      <c r="W51" s="137"/>
      <c r="X51" s="137"/>
      <c r="Y51" s="137"/>
      <c r="Z51" s="137"/>
      <c r="AA51" s="137"/>
      <c r="AB51" s="138"/>
      <c r="AC51" s="137"/>
      <c r="AD51" s="148"/>
      <c r="AE51" s="148"/>
      <c r="AF51" s="148"/>
      <c r="AG51" s="148"/>
      <c r="AH51" s="148"/>
      <c r="AI51" s="148"/>
      <c r="AJ51" s="378"/>
      <c r="AK51" s="148"/>
      <c r="AL51" s="148"/>
      <c r="AM51" s="148"/>
      <c r="AN51" s="148"/>
      <c r="AO51" s="148"/>
      <c r="AP51" s="148"/>
      <c r="AQ51" s="148"/>
      <c r="AR51" s="378"/>
      <c r="AS51" s="148"/>
      <c r="AT51" s="148"/>
      <c r="AU51" s="148"/>
      <c r="AV51" s="148"/>
      <c r="AW51" s="148"/>
      <c r="AX51" s="148"/>
      <c r="AY51" s="148"/>
      <c r="AZ51" s="378"/>
      <c r="BA51" s="148"/>
      <c r="BB51" s="148"/>
      <c r="BC51" s="148"/>
      <c r="BD51" s="148"/>
      <c r="BE51" s="148"/>
      <c r="BF51" s="148"/>
      <c r="BG51" s="148"/>
      <c r="BH51" s="378"/>
      <c r="BI51" s="148"/>
      <c r="BJ51" s="148"/>
      <c r="BK51" s="148"/>
      <c r="BL51" s="148"/>
      <c r="BM51" s="148"/>
      <c r="BN51" s="148"/>
      <c r="BO51" s="148"/>
      <c r="BP51" s="378"/>
      <c r="BQ51" s="148"/>
      <c r="BR51" s="148"/>
      <c r="BS51" s="148"/>
      <c r="BT51" s="148"/>
      <c r="BU51" s="148"/>
      <c r="BV51" s="148"/>
      <c r="BW51" s="148"/>
      <c r="BX51" s="378"/>
      <c r="BY51" s="148"/>
      <c r="BZ51" s="148"/>
      <c r="CA51" s="148"/>
      <c r="CB51" s="148"/>
    </row>
    <row r="52" spans="3:80">
      <c r="C52" s="148"/>
      <c r="E52" s="148"/>
      <c r="F52" s="148"/>
      <c r="G52" s="148"/>
      <c r="H52" s="148"/>
      <c r="I52" s="148"/>
      <c r="J52" s="148"/>
      <c r="K52" s="137"/>
      <c r="L52" s="148"/>
      <c r="M52" s="137"/>
      <c r="N52" s="148"/>
      <c r="O52" s="137"/>
      <c r="P52" s="148"/>
      <c r="Q52" s="137"/>
      <c r="R52" s="148"/>
      <c r="S52" s="137"/>
      <c r="T52" s="137"/>
      <c r="U52" s="137"/>
      <c r="V52" s="137"/>
      <c r="W52" s="137"/>
      <c r="X52" s="137"/>
      <c r="Y52" s="137"/>
      <c r="Z52" s="137"/>
      <c r="AA52" s="137"/>
      <c r="AB52" s="138"/>
      <c r="AC52" s="137"/>
      <c r="AD52" s="148"/>
      <c r="AE52" s="148"/>
      <c r="AF52" s="148"/>
      <c r="AG52" s="148"/>
      <c r="AH52" s="148"/>
      <c r="AI52" s="148"/>
      <c r="AJ52" s="378"/>
      <c r="AK52" s="148"/>
      <c r="AL52" s="148"/>
      <c r="AM52" s="148"/>
      <c r="AN52" s="148"/>
      <c r="AO52" s="148"/>
      <c r="AP52" s="148"/>
      <c r="AQ52" s="148"/>
      <c r="AR52" s="378"/>
      <c r="AS52" s="148"/>
      <c r="AT52" s="148"/>
      <c r="AU52" s="148"/>
      <c r="AV52" s="148"/>
      <c r="AW52" s="148"/>
      <c r="AX52" s="148"/>
      <c r="AY52" s="148"/>
      <c r="AZ52" s="378"/>
      <c r="BA52" s="148"/>
      <c r="BB52" s="148"/>
      <c r="BC52" s="148"/>
      <c r="BD52" s="148"/>
      <c r="BE52" s="148"/>
      <c r="BF52" s="148"/>
      <c r="BG52" s="148"/>
      <c r="BH52" s="378"/>
      <c r="BI52" s="148"/>
      <c r="BJ52" s="148"/>
      <c r="BK52" s="148"/>
      <c r="BL52" s="148"/>
      <c r="BM52" s="148"/>
      <c r="BN52" s="148"/>
      <c r="BO52" s="148"/>
      <c r="BP52" s="378"/>
      <c r="BQ52" s="148"/>
      <c r="BR52" s="148"/>
      <c r="BS52" s="148"/>
      <c r="BT52" s="148"/>
      <c r="BU52" s="148"/>
      <c r="BV52" s="148"/>
      <c r="BW52" s="148"/>
      <c r="BX52" s="378"/>
      <c r="BY52" s="148"/>
      <c r="BZ52" s="148"/>
      <c r="CA52" s="148"/>
      <c r="CB52" s="148"/>
    </row>
    <row r="53" spans="3:80">
      <c r="K53" s="137"/>
      <c r="M53" s="137"/>
      <c r="O53" s="137"/>
      <c r="Q53" s="137"/>
      <c r="S53" s="137"/>
      <c r="T53" s="137"/>
      <c r="U53" s="137"/>
      <c r="V53" s="137"/>
      <c r="W53" s="137"/>
      <c r="X53" s="137"/>
      <c r="Y53" s="137"/>
      <c r="Z53" s="137"/>
      <c r="AA53" s="137"/>
      <c r="AB53" s="138"/>
      <c r="AC53" s="137"/>
    </row>
    <row r="54" spans="3:80">
      <c r="K54" s="137"/>
      <c r="M54" s="137"/>
      <c r="O54" s="137"/>
      <c r="Q54" s="137"/>
      <c r="S54" s="137"/>
      <c r="T54" s="137"/>
      <c r="U54" s="137"/>
      <c r="V54" s="137"/>
      <c r="W54" s="137"/>
      <c r="X54" s="137"/>
      <c r="Y54" s="137"/>
      <c r="Z54" s="137"/>
      <c r="AA54" s="137"/>
      <c r="AB54" s="138"/>
      <c r="AC54" s="137"/>
    </row>
    <row r="55" spans="3:80">
      <c r="K55" s="137"/>
      <c r="M55" s="137"/>
      <c r="O55" s="137"/>
      <c r="Q55" s="137"/>
      <c r="S55" s="137"/>
      <c r="T55" s="137"/>
      <c r="U55" s="137"/>
      <c r="V55" s="137"/>
      <c r="W55" s="137"/>
      <c r="X55" s="137"/>
      <c r="Y55" s="137"/>
      <c r="Z55" s="137"/>
      <c r="AA55" s="137"/>
      <c r="AB55" s="138"/>
      <c r="AC55" s="137"/>
    </row>
    <row r="56" spans="3:80">
      <c r="K56" s="137"/>
      <c r="M56" s="137"/>
      <c r="O56" s="137"/>
      <c r="Q56" s="137"/>
      <c r="S56" s="137"/>
      <c r="T56" s="137"/>
      <c r="U56" s="137"/>
      <c r="V56" s="137"/>
      <c r="W56" s="137"/>
      <c r="X56" s="137"/>
      <c r="Y56" s="137"/>
      <c r="Z56" s="137"/>
      <c r="AA56" s="137"/>
      <c r="AB56" s="138"/>
      <c r="AC56" s="137"/>
    </row>
    <row r="57" spans="3:80">
      <c r="K57" s="137"/>
      <c r="M57" s="137"/>
      <c r="O57" s="137"/>
      <c r="Q57" s="137"/>
      <c r="S57" s="137"/>
      <c r="T57" s="137"/>
      <c r="U57" s="137"/>
      <c r="V57" s="137"/>
      <c r="W57" s="137"/>
      <c r="X57" s="137"/>
      <c r="Y57" s="137"/>
      <c r="Z57" s="137"/>
      <c r="AA57" s="137"/>
      <c r="AB57" s="138"/>
      <c r="AC57" s="137"/>
    </row>
    <row r="58" spans="3:80">
      <c r="K58" s="137"/>
      <c r="M58" s="137"/>
      <c r="O58" s="137"/>
      <c r="Q58" s="137"/>
      <c r="S58" s="137"/>
      <c r="T58" s="137"/>
      <c r="U58" s="137"/>
      <c r="V58" s="137"/>
      <c r="W58" s="137"/>
      <c r="X58" s="137"/>
      <c r="Y58" s="137"/>
      <c r="Z58" s="137"/>
      <c r="AA58" s="137"/>
      <c r="AB58" s="138"/>
      <c r="AC58" s="137"/>
    </row>
    <row r="59" spans="3:80">
      <c r="K59" s="137"/>
      <c r="M59" s="137"/>
      <c r="O59" s="137"/>
      <c r="Q59" s="137"/>
      <c r="S59" s="137"/>
      <c r="T59" s="137"/>
      <c r="U59" s="137"/>
      <c r="V59" s="137"/>
      <c r="W59" s="137"/>
      <c r="X59" s="137"/>
      <c r="Y59" s="137"/>
      <c r="Z59" s="137"/>
      <c r="AA59" s="137"/>
      <c r="AB59" s="138"/>
      <c r="AC59" s="137"/>
    </row>
    <row r="60" spans="3:80">
      <c r="K60" s="137"/>
      <c r="M60" s="137"/>
      <c r="O60" s="137"/>
      <c r="Q60" s="137"/>
      <c r="S60" s="137"/>
      <c r="T60" s="137"/>
      <c r="U60" s="137"/>
      <c r="V60" s="137"/>
      <c r="W60" s="137"/>
      <c r="X60" s="137"/>
      <c r="Y60" s="137"/>
      <c r="Z60" s="137"/>
      <c r="AA60" s="137"/>
      <c r="AB60" s="138"/>
      <c r="AC60" s="137"/>
    </row>
    <row r="61" spans="3:80">
      <c r="K61" s="137"/>
      <c r="M61" s="137"/>
      <c r="O61" s="137"/>
      <c r="Q61" s="137"/>
      <c r="S61" s="137"/>
      <c r="T61" s="137"/>
      <c r="U61" s="137"/>
      <c r="V61" s="137"/>
      <c r="W61" s="137"/>
      <c r="X61" s="137"/>
      <c r="Y61" s="137"/>
      <c r="Z61" s="137"/>
      <c r="AA61" s="137"/>
      <c r="AB61" s="138"/>
      <c r="AC61" s="137"/>
    </row>
  </sheetData>
  <mergeCells count="117">
    <mergeCell ref="CA3:CB3"/>
    <mergeCell ref="CA13:CB13"/>
    <mergeCell ref="CA23:CB23"/>
    <mergeCell ref="BY3:BZ3"/>
    <mergeCell ref="BY13:BZ13"/>
    <mergeCell ref="BY23:BZ23"/>
    <mergeCell ref="AI23:AJ23"/>
    <mergeCell ref="AO13:AP13"/>
    <mergeCell ref="AK3:AL3"/>
    <mergeCell ref="AI13:AJ13"/>
    <mergeCell ref="AS3:AT3"/>
    <mergeCell ref="AU3:AV3"/>
    <mergeCell ref="BU3:BV3"/>
    <mergeCell ref="BU13:BV13"/>
    <mergeCell ref="BU23:BV23"/>
    <mergeCell ref="BI3:BJ3"/>
    <mergeCell ref="BI13:BJ13"/>
    <mergeCell ref="BI23:BJ23"/>
    <mergeCell ref="BK3:BL3"/>
    <mergeCell ref="BK13:BL13"/>
    <mergeCell ref="BK23:BL23"/>
    <mergeCell ref="BQ3:BR3"/>
    <mergeCell ref="BQ13:BR13"/>
    <mergeCell ref="BQ23:BR23"/>
    <mergeCell ref="P3:Q3"/>
    <mergeCell ref="P13:Q13"/>
    <mergeCell ref="P23:Q23"/>
    <mergeCell ref="U3:V3"/>
    <mergeCell ref="W3:X3"/>
    <mergeCell ref="Y3:Z3"/>
    <mergeCell ref="AA3:AB3"/>
    <mergeCell ref="AC3:AD3"/>
    <mergeCell ref="Y23:Z23"/>
    <mergeCell ref="U13:V13"/>
    <mergeCell ref="W13:X13"/>
    <mergeCell ref="Y13:Z13"/>
    <mergeCell ref="AG13:AH13"/>
    <mergeCell ref="AC13:AD13"/>
    <mergeCell ref="BG3:BH3"/>
    <mergeCell ref="BG13:BH13"/>
    <mergeCell ref="BG23:BH23"/>
    <mergeCell ref="BW3:BX3"/>
    <mergeCell ref="BW13:BX13"/>
    <mergeCell ref="BW23:BX23"/>
    <mergeCell ref="B3:C3"/>
    <mergeCell ref="D3:E3"/>
    <mergeCell ref="F3:G3"/>
    <mergeCell ref="H3:I3"/>
    <mergeCell ref="R3:S3"/>
    <mergeCell ref="R13:S13"/>
    <mergeCell ref="R23:S23"/>
    <mergeCell ref="L23:M23"/>
    <mergeCell ref="AE3:AF3"/>
    <mergeCell ref="B23:C23"/>
    <mergeCell ref="D23:E23"/>
    <mergeCell ref="U23:V23"/>
    <mergeCell ref="W23:X23"/>
    <mergeCell ref="AA13:AB13"/>
    <mergeCell ref="B13:C13"/>
    <mergeCell ref="D13:E13"/>
    <mergeCell ref="H13:I13"/>
    <mergeCell ref="F13:G13"/>
    <mergeCell ref="J13:K13"/>
    <mergeCell ref="H23:I23"/>
    <mergeCell ref="F23:G23"/>
    <mergeCell ref="J3:K3"/>
    <mergeCell ref="L3:M3"/>
    <mergeCell ref="L13:M13"/>
    <mergeCell ref="AY23:AZ23"/>
    <mergeCell ref="AU23:AV23"/>
    <mergeCell ref="AS23:AT23"/>
    <mergeCell ref="AM23:AN23"/>
    <mergeCell ref="AW3:AX3"/>
    <mergeCell ref="AW13:AX13"/>
    <mergeCell ref="AW23:AX23"/>
    <mergeCell ref="AG3:AH3"/>
    <mergeCell ref="AA23:AB23"/>
    <mergeCell ref="AC23:AD23"/>
    <mergeCell ref="AG23:AH23"/>
    <mergeCell ref="AE23:AF23"/>
    <mergeCell ref="AE13:AF13"/>
    <mergeCell ref="AU13:AV13"/>
    <mergeCell ref="AS13:AT13"/>
    <mergeCell ref="AQ3:AR3"/>
    <mergeCell ref="J23:K23"/>
    <mergeCell ref="AI3:AJ3"/>
    <mergeCell ref="AO3:AP3"/>
    <mergeCell ref="N3:O3"/>
    <mergeCell ref="N13:O13"/>
    <mergeCell ref="N23:O23"/>
    <mergeCell ref="BE3:BF3"/>
    <mergeCell ref="BE13:BF13"/>
    <mergeCell ref="BE23:BF23"/>
    <mergeCell ref="BC3:BD3"/>
    <mergeCell ref="BC13:BD13"/>
    <mergeCell ref="BC23:BD23"/>
    <mergeCell ref="AK13:AL13"/>
    <mergeCell ref="AK23:AL23"/>
    <mergeCell ref="AQ13:AR13"/>
    <mergeCell ref="AQ23:AR23"/>
    <mergeCell ref="AO23:AP23"/>
    <mergeCell ref="AM13:AN13"/>
    <mergeCell ref="AM3:AN3"/>
    <mergeCell ref="BA3:BB3"/>
    <mergeCell ref="BA13:BB13"/>
    <mergeCell ref="BA23:BB23"/>
    <mergeCell ref="AY3:AZ3"/>
    <mergeCell ref="AY13:AZ13"/>
    <mergeCell ref="BM3:BN3"/>
    <mergeCell ref="BM13:BN13"/>
    <mergeCell ref="BM23:BN23"/>
    <mergeCell ref="BO3:BP3"/>
    <mergeCell ref="BO13:BP13"/>
    <mergeCell ref="BO23:BP23"/>
    <mergeCell ref="BS3:BT3"/>
    <mergeCell ref="BS13:BT13"/>
    <mergeCell ref="BS23:BT23"/>
  </mergeCells>
  <hyperlinks>
    <hyperlink ref="A2" location="'START PAGE'!A1" display="Back to start page" xr:uid="{00000000-0004-0000-0800-000000000000}"/>
  </hyperlinks>
  <pageMargins left="0.7" right="0.7" top="0.75" bottom="0.75" header="0.3" footer="0.3"/>
  <pageSetup paperSize="9" scale="32" fitToHeight="2"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F8DC-E342-47A3-AA12-26BE87A6B0B6}">
  <sheetPr codeName="Sheet2">
    <tabColor theme="4"/>
  </sheetPr>
  <dimension ref="A1:BI210"/>
  <sheetViews>
    <sheetView showGridLines="0" zoomScale="90" zoomScaleNormal="90" workbookViewId="0"/>
  </sheetViews>
  <sheetFormatPr defaultColWidth="7.58203125" defaultRowHeight="10"/>
  <cols>
    <col min="1" max="1" width="18.08203125" style="663" bestFit="1" customWidth="1"/>
    <col min="2" max="2" width="9" style="663" bestFit="1" customWidth="1"/>
    <col min="3" max="4" width="7.58203125" style="663"/>
    <col min="5" max="5" width="18.08203125" style="663" customWidth="1"/>
    <col min="6" max="6" width="7.58203125" style="663"/>
    <col min="7" max="7" width="7.58203125" style="778"/>
    <col min="8" max="8" width="7.58203125" style="663"/>
    <col min="9" max="9" width="18.08203125" style="663" bestFit="1" customWidth="1"/>
    <col min="10" max="18" width="9" style="663" bestFit="1" customWidth="1"/>
    <col min="19" max="19" width="9" style="663" customWidth="1"/>
    <col min="20" max="20" width="7.58203125" style="663" customWidth="1"/>
    <col min="21" max="21" width="18.08203125" style="663" bestFit="1" customWidth="1"/>
    <col min="22" max="16384" width="7.58203125" style="663"/>
  </cols>
  <sheetData>
    <row r="1" spans="1:61" s="2" customFormat="1" ht="16" thickBot="1">
      <c r="A1" s="661" t="s">
        <v>957</v>
      </c>
      <c r="B1" s="664" t="s">
        <v>982</v>
      </c>
      <c r="C1" s="662"/>
      <c r="D1" s="663"/>
      <c r="E1" s="664" t="s">
        <v>983</v>
      </c>
      <c r="F1" s="773"/>
      <c r="G1" s="774"/>
      <c r="H1" s="676"/>
      <c r="I1" s="664" t="s">
        <v>984</v>
      </c>
      <c r="J1" s="662"/>
      <c r="K1" s="662"/>
      <c r="L1" s="662"/>
      <c r="M1" s="773"/>
      <c r="N1" s="662"/>
      <c r="O1" s="662"/>
      <c r="P1" s="662"/>
      <c r="Q1" s="662"/>
      <c r="R1" s="662"/>
      <c r="S1" s="662"/>
      <c r="T1" s="663"/>
      <c r="U1" s="664" t="s">
        <v>985</v>
      </c>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2"/>
      <c r="AY1" s="662"/>
      <c r="AZ1" s="662"/>
      <c r="BA1" s="662"/>
      <c r="BB1" s="662"/>
      <c r="BC1" s="662"/>
      <c r="BD1" s="662"/>
      <c r="BE1" s="662"/>
      <c r="BF1" s="662"/>
      <c r="BG1" s="662"/>
      <c r="BH1" s="662"/>
      <c r="BI1" s="662"/>
    </row>
    <row r="2" spans="1:61" s="2" customFormat="1" ht="12.5" thickTop="1" thickBot="1">
      <c r="A2" s="823" t="s">
        <v>198</v>
      </c>
      <c r="B2" s="817"/>
      <c r="C2" s="817"/>
      <c r="D2" s="663"/>
      <c r="E2" s="815"/>
      <c r="F2" s="816"/>
      <c r="G2" s="817"/>
      <c r="H2" s="676"/>
      <c r="I2" s="815"/>
      <c r="J2" s="817"/>
      <c r="K2" s="817"/>
      <c r="L2" s="817"/>
      <c r="M2" s="816"/>
      <c r="N2" s="817"/>
      <c r="O2" s="817"/>
      <c r="P2" s="817"/>
      <c r="Q2" s="817"/>
      <c r="R2" s="817"/>
      <c r="S2" s="817"/>
      <c r="T2" s="663"/>
      <c r="U2" s="815"/>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row>
    <row r="3" spans="1:61" ht="11" thickTop="1">
      <c r="A3" s="665" t="s">
        <v>13</v>
      </c>
      <c r="B3" s="665"/>
      <c r="C3" s="665"/>
      <c r="E3" s="665" t="s">
        <v>13</v>
      </c>
      <c r="F3" s="666"/>
      <c r="G3" s="775"/>
      <c r="H3" s="676"/>
      <c r="I3" s="665" t="str">
        <f t="shared" ref="I3:I14" si="0">A3</f>
        <v>Orders received</v>
      </c>
      <c r="J3" s="665"/>
      <c r="K3" s="665"/>
      <c r="L3" s="665"/>
      <c r="M3" s="666"/>
      <c r="N3" s="665"/>
      <c r="O3" s="665"/>
      <c r="P3" s="665"/>
      <c r="Q3" s="665"/>
      <c r="R3" s="665"/>
      <c r="S3" s="665"/>
      <c r="U3" s="665" t="str">
        <f t="shared" ref="U3:U14" si="1">E3</f>
        <v>Orders received</v>
      </c>
      <c r="V3" s="665"/>
      <c r="W3" s="665"/>
      <c r="X3" s="665"/>
      <c r="Y3" s="666"/>
      <c r="Z3" s="667"/>
      <c r="AA3" s="665"/>
      <c r="AB3" s="665"/>
      <c r="AC3" s="665"/>
      <c r="AD3" s="665"/>
      <c r="AE3" s="665"/>
    </row>
    <row r="4" spans="1:61" ht="10.5">
      <c r="A4" s="764" t="s">
        <v>35</v>
      </c>
      <c r="B4" s="764">
        <v>2023</v>
      </c>
      <c r="C4" s="764">
        <v>2024</v>
      </c>
      <c r="E4" s="764" t="s">
        <v>35</v>
      </c>
      <c r="F4" s="765">
        <v>2023</v>
      </c>
      <c r="G4" s="775"/>
      <c r="H4" s="676"/>
      <c r="I4" s="764" t="str">
        <f t="shared" si="0"/>
        <v>Epiroc Group</v>
      </c>
      <c r="J4" s="764" t="s">
        <v>803</v>
      </c>
      <c r="K4" s="764" t="s">
        <v>812</v>
      </c>
      <c r="L4" s="764" t="s">
        <v>816</v>
      </c>
      <c r="M4" s="765" t="s">
        <v>835</v>
      </c>
      <c r="N4" s="764" t="s">
        <v>872</v>
      </c>
      <c r="O4" s="764" t="s">
        <v>986</v>
      </c>
      <c r="P4" s="764" t="s">
        <v>1016</v>
      </c>
      <c r="Q4" s="764" t="s">
        <v>1039</v>
      </c>
      <c r="R4" s="764" t="s">
        <v>1076</v>
      </c>
      <c r="S4" s="764" t="s">
        <v>1285</v>
      </c>
      <c r="U4" s="764" t="str">
        <f t="shared" si="1"/>
        <v>Epiroc Group</v>
      </c>
      <c r="V4" s="764" t="s">
        <v>803</v>
      </c>
      <c r="W4" s="764" t="s">
        <v>812</v>
      </c>
      <c r="X4" s="764" t="s">
        <v>816</v>
      </c>
      <c r="Y4" s="765" t="s">
        <v>835</v>
      </c>
      <c r="Z4" s="766" t="s">
        <v>872</v>
      </c>
      <c r="AA4" s="764" t="s">
        <v>986</v>
      </c>
      <c r="AB4" s="764" t="s">
        <v>1016</v>
      </c>
      <c r="AC4" s="764" t="s">
        <v>1039</v>
      </c>
      <c r="AD4" s="764" t="s">
        <v>1076</v>
      </c>
      <c r="AE4" s="764" t="s">
        <v>1285</v>
      </c>
    </row>
    <row r="5" spans="1:61" ht="10.5">
      <c r="A5" s="671" t="s">
        <v>947</v>
      </c>
      <c r="B5" s="673">
        <v>53222.004318845095</v>
      </c>
      <c r="C5" s="673">
        <v>59332.319326864992</v>
      </c>
      <c r="E5" s="671" t="s">
        <v>947</v>
      </c>
      <c r="F5" s="672">
        <v>53222.004318845095</v>
      </c>
      <c r="G5" s="776"/>
      <c r="H5" s="676"/>
      <c r="I5" s="671" t="str">
        <f t="shared" si="0"/>
        <v>Reported opening balance</v>
      </c>
      <c r="J5" s="673">
        <v>13817.9803940854</v>
      </c>
      <c r="K5" s="673">
        <v>13377.400910480101</v>
      </c>
      <c r="L5" s="673">
        <v>12322.0537678564</v>
      </c>
      <c r="M5" s="672">
        <v>13704.5692464232</v>
      </c>
      <c r="N5" s="673">
        <v>15147.6012657668</v>
      </c>
      <c r="O5" s="673">
        <v>15436.263962106101</v>
      </c>
      <c r="P5" s="673">
        <v>14359.8582558573</v>
      </c>
      <c r="Q5" s="673">
        <v>14387.595843134801</v>
      </c>
      <c r="R5" s="673">
        <v>14161.679516402201</v>
      </c>
      <c r="S5" s="673">
        <v>16349.3402820848</v>
      </c>
      <c r="U5" s="671" t="str">
        <f t="shared" si="1"/>
        <v>Reported opening balance</v>
      </c>
      <c r="V5" s="673">
        <v>13817.9803940854</v>
      </c>
      <c r="W5" s="673">
        <v>13377.400910480101</v>
      </c>
      <c r="X5" s="673">
        <v>12322.0537678564</v>
      </c>
      <c r="Y5" s="672">
        <v>13704.5692464232</v>
      </c>
      <c r="Z5" s="674">
        <v>15147.6012657668</v>
      </c>
      <c r="AA5" s="673">
        <v>15436.263962106101</v>
      </c>
      <c r="AB5" s="673">
        <v>14359.8582558573</v>
      </c>
      <c r="AC5" s="673">
        <v>14387.595843134801</v>
      </c>
      <c r="AD5" s="673">
        <v>14161.679516402201</v>
      </c>
      <c r="AE5" s="673">
        <v>16349.3402820848</v>
      </c>
    </row>
    <row r="6" spans="1:61">
      <c r="A6" s="663" t="s">
        <v>972</v>
      </c>
      <c r="B6" s="677">
        <v>-805</v>
      </c>
      <c r="C6" s="737">
        <v>-0.96844351698860287</v>
      </c>
      <c r="E6" s="663" t="s">
        <v>972</v>
      </c>
      <c r="F6" s="675">
        <v>-1.5125322886702368</v>
      </c>
      <c r="G6" s="777"/>
      <c r="H6" s="676"/>
      <c r="I6" s="663" t="str">
        <f t="shared" si="0"/>
        <v>Adjustment OOH</v>
      </c>
      <c r="J6" s="677">
        <v>0</v>
      </c>
      <c r="K6" s="677">
        <v>0</v>
      </c>
      <c r="L6" s="677">
        <v>0</v>
      </c>
      <c r="M6" s="678">
        <v>-805</v>
      </c>
      <c r="N6" s="677">
        <v>-432.9</v>
      </c>
      <c r="O6" s="677">
        <v>-141.69999999999999</v>
      </c>
      <c r="P6" s="677">
        <v>0</v>
      </c>
      <c r="Q6" s="677">
        <v>0</v>
      </c>
      <c r="R6" s="677">
        <v>0</v>
      </c>
      <c r="S6" s="677">
        <v>0</v>
      </c>
      <c r="U6" s="663" t="str">
        <f t="shared" si="1"/>
        <v>Adjustment OOH</v>
      </c>
      <c r="V6" s="737">
        <v>0</v>
      </c>
      <c r="W6" s="737">
        <v>0</v>
      </c>
      <c r="X6" s="737">
        <v>0</v>
      </c>
      <c r="Y6" s="738">
        <v>-5.8739533182343511</v>
      </c>
      <c r="Z6" s="739">
        <v>-2.8578782369875495</v>
      </c>
      <c r="AA6" s="737">
        <v>-0.91796823601782096</v>
      </c>
      <c r="AB6" s="737">
        <v>0</v>
      </c>
      <c r="AC6" s="737">
        <v>0</v>
      </c>
      <c r="AD6" s="737">
        <v>0</v>
      </c>
      <c r="AE6" s="737">
        <v>0</v>
      </c>
    </row>
    <row r="7" spans="1:61" ht="10.5">
      <c r="A7" s="671" t="s">
        <v>949</v>
      </c>
      <c r="B7" s="673">
        <v>52417.004318845095</v>
      </c>
      <c r="C7" s="673">
        <v>57268.692730153401</v>
      </c>
      <c r="E7" s="671" t="s">
        <v>949</v>
      </c>
      <c r="F7" s="672">
        <v>52417.004318845095</v>
      </c>
      <c r="G7" s="776"/>
      <c r="H7" s="676"/>
      <c r="I7" s="671" t="str">
        <f t="shared" si="0"/>
        <v>Adjusted opening balance</v>
      </c>
      <c r="J7" s="673">
        <v>13817.9803940854</v>
      </c>
      <c r="K7" s="673">
        <v>13377.400910480101</v>
      </c>
      <c r="L7" s="673">
        <v>12322.0537678564</v>
      </c>
      <c r="M7" s="672">
        <v>12899.5692464232</v>
      </c>
      <c r="N7" s="673">
        <v>14714.7012657668</v>
      </c>
      <c r="O7" s="673">
        <v>15294.5639621061</v>
      </c>
      <c r="P7" s="673">
        <v>14359.8582558573</v>
      </c>
      <c r="Q7" s="673">
        <v>14387.595843134801</v>
      </c>
      <c r="R7" s="673">
        <v>14161.679516402201</v>
      </c>
      <c r="S7" s="673">
        <v>16349.3402820848</v>
      </c>
      <c r="U7" s="671" t="str">
        <f t="shared" si="1"/>
        <v>Adjusted opening balance</v>
      </c>
      <c r="V7" s="673">
        <v>13817.9803940854</v>
      </c>
      <c r="W7" s="673">
        <v>13377.400910480101</v>
      </c>
      <c r="X7" s="673">
        <v>12322.0537678564</v>
      </c>
      <c r="Y7" s="672">
        <v>12899.5692464232</v>
      </c>
      <c r="Z7" s="674">
        <v>14714.7012657668</v>
      </c>
      <c r="AA7" s="673">
        <v>15294.5639621061</v>
      </c>
      <c r="AB7" s="673">
        <v>14359.8582558573</v>
      </c>
      <c r="AC7" s="673">
        <v>14387.595843134801</v>
      </c>
      <c r="AD7" s="673">
        <v>14161.679516402201</v>
      </c>
      <c r="AE7" s="673">
        <v>16349.3402820848</v>
      </c>
    </row>
    <row r="8" spans="1:61">
      <c r="A8" s="663" t="s">
        <v>950</v>
      </c>
      <c r="B8" s="676">
        <v>972.28492776990004</v>
      </c>
      <c r="C8" s="676">
        <v>3</v>
      </c>
      <c r="E8" s="663" t="s">
        <v>950</v>
      </c>
      <c r="F8" s="675">
        <v>1</v>
      </c>
      <c r="G8" s="777"/>
      <c r="H8" s="676"/>
      <c r="I8" s="663" t="str">
        <f t="shared" si="0"/>
        <v>Organic</v>
      </c>
      <c r="J8" s="676">
        <v>-891.17597446989998</v>
      </c>
      <c r="K8" s="676">
        <v>-60.418893165199997</v>
      </c>
      <c r="L8" s="676">
        <v>990.61261648200002</v>
      </c>
      <c r="M8" s="675">
        <v>933.26717892299996</v>
      </c>
      <c r="N8" s="676">
        <v>-357.9690913563</v>
      </c>
      <c r="O8" s="676">
        <v>221.63431114209999</v>
      </c>
      <c r="P8" s="676">
        <v>872.6296583523</v>
      </c>
      <c r="Q8" s="676">
        <v>705.33547007710001</v>
      </c>
      <c r="R8" s="676">
        <v>1373.7159717606</v>
      </c>
      <c r="S8" s="676">
        <v>356.69939713590003</v>
      </c>
      <c r="U8" s="663" t="str">
        <f t="shared" si="1"/>
        <v>Organic</v>
      </c>
      <c r="V8" s="676">
        <v>-7</v>
      </c>
      <c r="W8" s="676">
        <v>-1</v>
      </c>
      <c r="X8" s="676">
        <v>9</v>
      </c>
      <c r="Y8" s="675">
        <v>7</v>
      </c>
      <c r="Z8" s="734">
        <v>-3</v>
      </c>
      <c r="AA8" s="676">
        <v>1</v>
      </c>
      <c r="AB8" s="676">
        <v>6</v>
      </c>
      <c r="AC8" s="676">
        <v>5</v>
      </c>
      <c r="AD8" s="676">
        <v>10</v>
      </c>
      <c r="AE8" s="676">
        <v>2</v>
      </c>
    </row>
    <row r="9" spans="1:61">
      <c r="A9" s="663" t="s">
        <v>951</v>
      </c>
      <c r="B9" s="676">
        <v>1401.8775018693002</v>
      </c>
      <c r="C9" s="676">
        <v>-1.9319024969373286</v>
      </c>
      <c r="E9" s="663" t="s">
        <v>951</v>
      </c>
      <c r="F9" s="675">
        <v>2.6744708517523841</v>
      </c>
      <c r="G9" s="777"/>
      <c r="H9" s="676"/>
      <c r="I9" s="663" t="str">
        <f t="shared" si="0"/>
        <v>Currency</v>
      </c>
      <c r="J9" s="676">
        <v>827.28344155479999</v>
      </c>
      <c r="K9" s="676">
        <v>500.30549079529999</v>
      </c>
      <c r="L9" s="676">
        <v>179.23016228770001</v>
      </c>
      <c r="M9" s="675">
        <v>-104.9415927685</v>
      </c>
      <c r="N9" s="676">
        <v>-425.10537125910002</v>
      </c>
      <c r="O9" s="676">
        <v>-189.36944919129999</v>
      </c>
      <c r="P9" s="676">
        <v>-557.3851691026</v>
      </c>
      <c r="Q9" s="676">
        <v>65.484684735800002</v>
      </c>
      <c r="R9" s="676">
        <v>11.6656507425</v>
      </c>
      <c r="S9" s="676">
        <v>-1511.1123310521</v>
      </c>
      <c r="U9" s="663" t="str">
        <f t="shared" si="1"/>
        <v>Currency</v>
      </c>
      <c r="V9" s="676">
        <v>5.9870069138968205</v>
      </c>
      <c r="W9" s="676">
        <v>3.739930455424652</v>
      </c>
      <c r="X9" s="676">
        <v>1.454547802374017</v>
      </c>
      <c r="Y9" s="675">
        <v>-0.8135278842555016</v>
      </c>
      <c r="Z9" s="734">
        <v>-2.8889840410698091</v>
      </c>
      <c r="AA9" s="676">
        <v>-1.2381487282702719</v>
      </c>
      <c r="AB9" s="676">
        <v>-3.8815506335185859</v>
      </c>
      <c r="AC9" s="676">
        <v>0.45514681848007799</v>
      </c>
      <c r="AD9" s="676">
        <v>8.2374768677604418E-2</v>
      </c>
      <c r="AE9" s="676">
        <v>-9.2444851289092558</v>
      </c>
    </row>
    <row r="10" spans="1:61">
      <c r="A10" s="680" t="s">
        <v>952</v>
      </c>
      <c r="B10" s="735">
        <v>4107.7525783807005</v>
      </c>
      <c r="C10" s="735">
        <v>6.0495374776516933</v>
      </c>
      <c r="E10" s="680" t="s">
        <v>952</v>
      </c>
      <c r="F10" s="681">
        <v>7.8366793977653364</v>
      </c>
      <c r="G10" s="777"/>
      <c r="H10" s="676"/>
      <c r="I10" s="680" t="str">
        <f t="shared" si="0"/>
        <v>Structure</v>
      </c>
      <c r="J10" s="735">
        <v>960.61340459660016</v>
      </c>
      <c r="K10" s="735">
        <v>1619.0764539955001</v>
      </c>
      <c r="L10" s="735">
        <v>868.36170923170005</v>
      </c>
      <c r="M10" s="681">
        <v>659.70101055690009</v>
      </c>
      <c r="N10" s="735">
        <v>230.05271325089996</v>
      </c>
      <c r="O10" s="735">
        <v>1022.5114580280001</v>
      </c>
      <c r="P10" s="735">
        <v>844.51406297249991</v>
      </c>
      <c r="Q10" s="735">
        <v>1023.8006390395</v>
      </c>
      <c r="R10" s="735">
        <v>1038.6763301515</v>
      </c>
      <c r="S10" s="735">
        <v>80.979924840599992</v>
      </c>
      <c r="U10" s="680" t="str">
        <f t="shared" si="1"/>
        <v>Structure</v>
      </c>
      <c r="V10" s="735">
        <v>6.9519088694595181</v>
      </c>
      <c r="W10" s="735">
        <v>12.103071925781084</v>
      </c>
      <c r="X10" s="735">
        <v>7.0472157125050767</v>
      </c>
      <c r="Y10" s="681">
        <v>5.114132091967508</v>
      </c>
      <c r="Z10" s="736">
        <v>1.5634208883744651</v>
      </c>
      <c r="AA10" s="735">
        <v>6.6854567450329441</v>
      </c>
      <c r="AB10" s="735">
        <v>5.8810752023128616</v>
      </c>
      <c r="AC10" s="735">
        <v>7.1158562570272474</v>
      </c>
      <c r="AD10" s="735">
        <v>7.3344148831252287</v>
      </c>
      <c r="AE10" s="735">
        <v>0.49531004580861143</v>
      </c>
    </row>
    <row r="11" spans="1:61">
      <c r="A11" s="663" t="s">
        <v>832</v>
      </c>
      <c r="B11" s="676">
        <v>6481.9150080199006</v>
      </c>
      <c r="C11" s="676">
        <v>6.6</v>
      </c>
      <c r="E11" s="663" t="s">
        <v>832</v>
      </c>
      <c r="F11" s="675">
        <v>12</v>
      </c>
      <c r="G11" s="777"/>
      <c r="H11" s="676"/>
      <c r="I11" s="663" t="str">
        <f t="shared" si="0"/>
        <v>Total</v>
      </c>
      <c r="J11" s="676">
        <v>896.72087168150017</v>
      </c>
      <c r="K11" s="676">
        <v>2058.9630516256002</v>
      </c>
      <c r="L11" s="676">
        <v>2038.2044880014</v>
      </c>
      <c r="M11" s="675">
        <v>1488.0265967114001</v>
      </c>
      <c r="N11" s="676">
        <v>-553.02174936450012</v>
      </c>
      <c r="O11" s="676">
        <v>1054.7763199788001</v>
      </c>
      <c r="P11" s="676">
        <v>1159.7585522221998</v>
      </c>
      <c r="Q11" s="676">
        <v>1794.6207938523999</v>
      </c>
      <c r="R11" s="676">
        <v>2424.0579526545998</v>
      </c>
      <c r="S11" s="676">
        <v>-1073.4330090756</v>
      </c>
      <c r="U11" s="663" t="str">
        <f t="shared" si="1"/>
        <v>Total</v>
      </c>
      <c r="V11" s="676">
        <v>6</v>
      </c>
      <c r="W11" s="676">
        <v>15</v>
      </c>
      <c r="X11" s="676">
        <v>17</v>
      </c>
      <c r="Y11" s="675">
        <v>11</v>
      </c>
      <c r="Z11" s="734">
        <v>-4</v>
      </c>
      <c r="AA11" s="676">
        <v>7</v>
      </c>
      <c r="AB11" s="676">
        <v>8</v>
      </c>
      <c r="AC11" s="676">
        <v>12</v>
      </c>
      <c r="AD11" s="676">
        <v>17</v>
      </c>
      <c r="AE11" s="676">
        <v>-7</v>
      </c>
    </row>
    <row r="12" spans="1:61" ht="10.5">
      <c r="A12" s="671" t="s">
        <v>953</v>
      </c>
      <c r="B12" s="673">
        <v>58898.919326865005</v>
      </c>
      <c r="C12" s="673">
        <v>62212.853243553895</v>
      </c>
      <c r="E12" s="671" t="s">
        <v>953</v>
      </c>
      <c r="F12" s="672">
        <v>58898.919326865005</v>
      </c>
      <c r="G12" s="776"/>
      <c r="H12" s="676"/>
      <c r="I12" s="671" t="str">
        <f t="shared" si="0"/>
        <v>Operational closing balance</v>
      </c>
      <c r="J12" s="673">
        <v>14714.7012657669</v>
      </c>
      <c r="K12" s="673">
        <v>15436.363962105701</v>
      </c>
      <c r="L12" s="673">
        <v>14360.2582558578</v>
      </c>
      <c r="M12" s="672">
        <v>14387.595843134601</v>
      </c>
      <c r="N12" s="673">
        <v>14161.679516402301</v>
      </c>
      <c r="O12" s="673">
        <v>16349.340282084901</v>
      </c>
      <c r="P12" s="673">
        <v>15519.6168080795</v>
      </c>
      <c r="Q12" s="673">
        <v>16182.216636987201</v>
      </c>
      <c r="R12" s="673">
        <v>16585.737469056799</v>
      </c>
      <c r="S12" s="673">
        <v>15275.6072730092</v>
      </c>
      <c r="U12" s="671" t="str">
        <f t="shared" si="1"/>
        <v>Operational closing balance</v>
      </c>
      <c r="V12" s="673">
        <v>14714.7012657669</v>
      </c>
      <c r="W12" s="673">
        <v>15436.363962105701</v>
      </c>
      <c r="X12" s="673">
        <v>14360.2582558578</v>
      </c>
      <c r="Y12" s="672">
        <v>14387.595843134601</v>
      </c>
      <c r="Z12" s="674">
        <v>14161.679516402301</v>
      </c>
      <c r="AA12" s="673">
        <v>16349.340282084901</v>
      </c>
      <c r="AB12" s="673">
        <v>15519.6168080795</v>
      </c>
      <c r="AC12" s="673">
        <v>16182.216636987201</v>
      </c>
      <c r="AD12" s="673">
        <v>16585.737469056799</v>
      </c>
      <c r="AE12" s="673">
        <v>15275.6072730092</v>
      </c>
    </row>
    <row r="13" spans="1:61">
      <c r="A13" s="663" t="s">
        <v>972</v>
      </c>
      <c r="B13" s="676">
        <v>432.9</v>
      </c>
      <c r="C13" s="676">
        <v>0</v>
      </c>
      <c r="E13" s="663" t="s">
        <v>972</v>
      </c>
      <c r="F13" s="675">
        <v>0.81338537610601924</v>
      </c>
      <c r="G13" s="777"/>
      <c r="H13" s="676"/>
      <c r="I13" s="663" t="str">
        <f t="shared" si="0"/>
        <v>Adjustment OOH</v>
      </c>
      <c r="J13" s="676">
        <v>432.9</v>
      </c>
      <c r="K13" s="676">
        <v>0</v>
      </c>
      <c r="L13" s="676">
        <v>0</v>
      </c>
      <c r="M13" s="675">
        <v>0</v>
      </c>
      <c r="N13" s="676">
        <v>0</v>
      </c>
      <c r="O13" s="676">
        <v>0</v>
      </c>
      <c r="P13" s="676">
        <v>0</v>
      </c>
      <c r="Q13" s="676">
        <v>0</v>
      </c>
      <c r="R13" s="676">
        <v>0</v>
      </c>
      <c r="S13" s="676">
        <v>0</v>
      </c>
      <c r="U13" s="663" t="str">
        <f t="shared" si="1"/>
        <v>Adjustment OOH</v>
      </c>
      <c r="V13" s="676">
        <v>3.1328746144790953</v>
      </c>
      <c r="W13" s="676">
        <v>0</v>
      </c>
      <c r="X13" s="676">
        <v>0</v>
      </c>
      <c r="Y13" s="675">
        <v>0</v>
      </c>
      <c r="Z13" s="734">
        <v>0</v>
      </c>
      <c r="AA13" s="676">
        <v>0</v>
      </c>
      <c r="AB13" s="676">
        <v>0</v>
      </c>
      <c r="AC13" s="676">
        <v>0</v>
      </c>
      <c r="AD13" s="676">
        <v>0</v>
      </c>
      <c r="AE13" s="676">
        <v>0</v>
      </c>
    </row>
    <row r="14" spans="1:61" ht="10.5">
      <c r="A14" s="767" t="s">
        <v>954</v>
      </c>
      <c r="B14" s="732">
        <v>59332.319326864999</v>
      </c>
      <c r="C14" s="732">
        <v>62212.853243553895</v>
      </c>
      <c r="E14" s="767" t="s">
        <v>954</v>
      </c>
      <c r="F14" s="731">
        <v>59332.319326864999</v>
      </c>
      <c r="G14" s="776"/>
      <c r="H14" s="676"/>
      <c r="I14" s="767" t="str">
        <f t="shared" si="0"/>
        <v>Reported closing balance</v>
      </c>
      <c r="J14" s="732">
        <v>15147.6012657669</v>
      </c>
      <c r="K14" s="732">
        <v>15436.263962105701</v>
      </c>
      <c r="L14" s="732">
        <v>14359.8582558578</v>
      </c>
      <c r="M14" s="731">
        <v>14387.595843134601</v>
      </c>
      <c r="N14" s="732">
        <v>14161.679516402301</v>
      </c>
      <c r="O14" s="732">
        <v>16349.340282084901</v>
      </c>
      <c r="P14" s="732">
        <v>15519.6168080795</v>
      </c>
      <c r="Q14" s="732">
        <v>16182.216636987199</v>
      </c>
      <c r="R14" s="732">
        <v>16585.737469056799</v>
      </c>
      <c r="S14" s="732">
        <v>15275.6072730092</v>
      </c>
      <c r="U14" s="767" t="str">
        <f t="shared" si="1"/>
        <v>Reported closing balance</v>
      </c>
      <c r="V14" s="732">
        <v>15147.6012657669</v>
      </c>
      <c r="W14" s="732">
        <v>15436.263962105701</v>
      </c>
      <c r="X14" s="732">
        <v>14359.8582558578</v>
      </c>
      <c r="Y14" s="731">
        <v>14387.595843134601</v>
      </c>
      <c r="Z14" s="768">
        <v>14161.679516402301</v>
      </c>
      <c r="AA14" s="732">
        <v>16349.340282084901</v>
      </c>
      <c r="AB14" s="732">
        <v>15519.6168080795</v>
      </c>
      <c r="AC14" s="732">
        <v>16182.216636987199</v>
      </c>
      <c r="AD14" s="732">
        <v>16585.737469056799</v>
      </c>
      <c r="AE14" s="732">
        <v>15275.6072730092</v>
      </c>
    </row>
    <row r="15" spans="1:61">
      <c r="F15" s="772"/>
      <c r="H15" s="676"/>
      <c r="M15" s="772"/>
    </row>
    <row r="16" spans="1:61" ht="10.5">
      <c r="A16" s="665" t="s">
        <v>13</v>
      </c>
      <c r="B16" s="665"/>
      <c r="C16" s="665"/>
      <c r="E16" s="665" t="s">
        <v>13</v>
      </c>
      <c r="F16" s="666"/>
      <c r="G16" s="775"/>
      <c r="H16" s="676"/>
      <c r="I16" s="665" t="str">
        <f t="shared" ref="I16:I27" si="2">A16</f>
        <v>Orders received</v>
      </c>
      <c r="J16" s="665"/>
      <c r="K16" s="665"/>
      <c r="L16" s="665"/>
      <c r="M16" s="666"/>
      <c r="N16" s="665"/>
      <c r="O16" s="665"/>
      <c r="P16" s="665"/>
      <c r="Q16" s="665"/>
      <c r="R16" s="665"/>
      <c r="S16" s="665"/>
      <c r="U16" s="665" t="str">
        <f t="shared" ref="U16:U27" si="3">E16</f>
        <v>Orders received</v>
      </c>
      <c r="V16" s="665"/>
      <c r="W16" s="665"/>
      <c r="X16" s="665"/>
      <c r="Y16" s="666"/>
      <c r="Z16" s="667"/>
      <c r="AA16" s="665"/>
      <c r="AB16" s="665"/>
      <c r="AC16" s="665"/>
      <c r="AD16" s="665"/>
      <c r="AE16" s="665"/>
    </row>
    <row r="17" spans="1:31" ht="10.5">
      <c r="A17" s="764" t="s">
        <v>70</v>
      </c>
      <c r="B17" s="764">
        <v>2023</v>
      </c>
      <c r="C17" s="764">
        <v>2024</v>
      </c>
      <c r="E17" s="764" t="s">
        <v>70</v>
      </c>
      <c r="F17" s="765">
        <v>2023</v>
      </c>
      <c r="G17" s="775"/>
      <c r="H17" s="676"/>
      <c r="I17" s="764" t="str">
        <f t="shared" si="2"/>
        <v>Equipment &amp; Services</v>
      </c>
      <c r="J17" s="764" t="s">
        <v>803</v>
      </c>
      <c r="K17" s="764" t="s">
        <v>812</v>
      </c>
      <c r="L17" s="764" t="s">
        <v>816</v>
      </c>
      <c r="M17" s="765" t="s">
        <v>835</v>
      </c>
      <c r="N17" s="764" t="s">
        <v>872</v>
      </c>
      <c r="O17" s="764" t="s">
        <v>986</v>
      </c>
      <c r="P17" s="764" t="s">
        <v>1016</v>
      </c>
      <c r="Q17" s="764" t="s">
        <v>1039</v>
      </c>
      <c r="R17" s="764" t="s">
        <v>1076</v>
      </c>
      <c r="S17" s="764" t="s">
        <v>1285</v>
      </c>
      <c r="U17" s="764" t="str">
        <f t="shared" si="3"/>
        <v>Equipment &amp; Services</v>
      </c>
      <c r="V17" s="764" t="s">
        <v>803</v>
      </c>
      <c r="W17" s="764" t="s">
        <v>812</v>
      </c>
      <c r="X17" s="764" t="s">
        <v>816</v>
      </c>
      <c r="Y17" s="765" t="s">
        <v>835</v>
      </c>
      <c r="Z17" s="766" t="s">
        <v>872</v>
      </c>
      <c r="AA17" s="764" t="s">
        <v>986</v>
      </c>
      <c r="AB17" s="764" t="s">
        <v>1016</v>
      </c>
      <c r="AC17" s="764" t="s">
        <v>1039</v>
      </c>
      <c r="AD17" s="764" t="s">
        <v>1076</v>
      </c>
      <c r="AE17" s="764" t="s">
        <v>1285</v>
      </c>
    </row>
    <row r="18" spans="1:31" ht="10.5">
      <c r="A18" s="671" t="s">
        <v>947</v>
      </c>
      <c r="B18" s="673">
        <v>42690.962694802103</v>
      </c>
      <c r="C18" s="673">
        <v>46707.320281198095</v>
      </c>
      <c r="E18" s="671" t="s">
        <v>947</v>
      </c>
      <c r="F18" s="672">
        <v>42690.962694802103</v>
      </c>
      <c r="G18" s="776"/>
      <c r="H18" s="676"/>
      <c r="I18" s="671" t="str">
        <f t="shared" si="2"/>
        <v>Reported opening balance</v>
      </c>
      <c r="J18" s="673">
        <v>10839.9189195621</v>
      </c>
      <c r="K18" s="673">
        <v>10897.060602207899</v>
      </c>
      <c r="L18" s="673">
        <v>9790.7239444646002</v>
      </c>
      <c r="M18" s="672">
        <v>11163.2592285675</v>
      </c>
      <c r="N18" s="673">
        <v>11570.379972948</v>
      </c>
      <c r="O18" s="673">
        <v>12275.685550455</v>
      </c>
      <c r="P18" s="673">
        <v>11310.67786046</v>
      </c>
      <c r="Q18" s="673">
        <v>11550.576897335101</v>
      </c>
      <c r="R18" s="673">
        <v>11025.0502131555</v>
      </c>
      <c r="S18" s="673">
        <v>12387.9736662832</v>
      </c>
      <c r="U18" s="671" t="str">
        <f t="shared" si="3"/>
        <v>Reported opening balance</v>
      </c>
      <c r="V18" s="673">
        <v>10839.9189195621</v>
      </c>
      <c r="W18" s="673">
        <v>10897.060602207899</v>
      </c>
      <c r="X18" s="673">
        <v>9790.7239444646002</v>
      </c>
      <c r="Y18" s="672">
        <v>11163.2592285675</v>
      </c>
      <c r="Z18" s="674">
        <v>11570.379972948</v>
      </c>
      <c r="AA18" s="673">
        <v>12275.685550455</v>
      </c>
      <c r="AB18" s="673">
        <v>11310.67786046</v>
      </c>
      <c r="AC18" s="673">
        <v>11550.576897335101</v>
      </c>
      <c r="AD18" s="673">
        <v>11025.0502131555</v>
      </c>
      <c r="AE18" s="673">
        <v>12387.9736662832</v>
      </c>
    </row>
    <row r="19" spans="1:31">
      <c r="A19" s="663" t="s">
        <v>972</v>
      </c>
      <c r="B19" s="677">
        <v>-778.3</v>
      </c>
      <c r="C19" s="677">
        <v>-0.36867882585274031</v>
      </c>
      <c r="E19" s="663" t="s">
        <v>972</v>
      </c>
      <c r="F19" s="675">
        <v>-1.8231024808788465</v>
      </c>
      <c r="G19" s="777"/>
      <c r="H19" s="676"/>
      <c r="I19" s="663" t="str">
        <f t="shared" si="2"/>
        <v>Adjustment OOH</v>
      </c>
      <c r="J19" s="677">
        <v>0</v>
      </c>
      <c r="K19" s="677">
        <v>0</v>
      </c>
      <c r="L19" s="677">
        <v>0</v>
      </c>
      <c r="M19" s="678">
        <v>-778.3</v>
      </c>
      <c r="N19" s="677">
        <v>-30.5</v>
      </c>
      <c r="O19" s="677">
        <v>-141.69999999999999</v>
      </c>
      <c r="P19" s="677">
        <v>0</v>
      </c>
      <c r="Q19" s="677">
        <v>0</v>
      </c>
      <c r="R19" s="677">
        <v>0</v>
      </c>
      <c r="S19" s="677">
        <v>0</v>
      </c>
      <c r="U19" s="663" t="str">
        <f t="shared" si="3"/>
        <v>Adjustment OOH</v>
      </c>
      <c r="V19" s="677">
        <v>0</v>
      </c>
      <c r="W19" s="677">
        <v>0</v>
      </c>
      <c r="X19" s="677">
        <v>0</v>
      </c>
      <c r="Y19" s="678">
        <v>-6.9719782015657232</v>
      </c>
      <c r="Z19" s="679">
        <v>-0.26360413462055865</v>
      </c>
      <c r="AA19" s="677">
        <v>-1.1543143510608078</v>
      </c>
      <c r="AB19" s="677">
        <v>0</v>
      </c>
      <c r="AC19" s="677">
        <v>0</v>
      </c>
      <c r="AD19" s="677">
        <v>0</v>
      </c>
      <c r="AE19" s="677">
        <v>0</v>
      </c>
    </row>
    <row r="20" spans="1:31" ht="10.5">
      <c r="A20" s="671" t="s">
        <v>949</v>
      </c>
      <c r="B20" s="673">
        <v>41912.6626948021</v>
      </c>
      <c r="C20" s="673">
        <v>46535.120281198098</v>
      </c>
      <c r="E20" s="671" t="s">
        <v>949</v>
      </c>
      <c r="F20" s="672">
        <v>41912.6626948021</v>
      </c>
      <c r="G20" s="776"/>
      <c r="H20" s="676"/>
      <c r="I20" s="671" t="str">
        <f t="shared" si="2"/>
        <v>Adjusted opening balance</v>
      </c>
      <c r="J20" s="673">
        <v>10839.9189195621</v>
      </c>
      <c r="K20" s="673">
        <v>10897.060602207899</v>
      </c>
      <c r="L20" s="673">
        <v>9790.7239444646002</v>
      </c>
      <c r="M20" s="672">
        <v>10384.959228567501</v>
      </c>
      <c r="N20" s="673">
        <v>11539</v>
      </c>
      <c r="O20" s="673">
        <v>12133.985550455</v>
      </c>
      <c r="P20" s="673">
        <v>11310.67786046</v>
      </c>
      <c r="Q20" s="673">
        <v>11550.576897335101</v>
      </c>
      <c r="R20" s="673">
        <v>11025.0502131555</v>
      </c>
      <c r="S20" s="673">
        <v>12387.9736662832</v>
      </c>
      <c r="U20" s="671" t="str">
        <f t="shared" si="3"/>
        <v>Adjusted opening balance</v>
      </c>
      <c r="V20" s="673">
        <v>10839.9189195621</v>
      </c>
      <c r="W20" s="673">
        <v>10897.060602207899</v>
      </c>
      <c r="X20" s="673">
        <v>9790.7239444646002</v>
      </c>
      <c r="Y20" s="672">
        <v>10384.959228567501</v>
      </c>
      <c r="Z20" s="674">
        <v>11539</v>
      </c>
      <c r="AA20" s="673">
        <v>12133.985550455</v>
      </c>
      <c r="AB20" s="673">
        <v>11310.67786046</v>
      </c>
      <c r="AC20" s="673">
        <v>11550.576897335101</v>
      </c>
      <c r="AD20" s="673">
        <v>11025.0502131555</v>
      </c>
      <c r="AE20" s="673">
        <v>12387.9736662832</v>
      </c>
    </row>
    <row r="21" spans="1:31">
      <c r="A21" s="663" t="s">
        <v>950</v>
      </c>
      <c r="B21" s="676">
        <v>1144.4587071966998</v>
      </c>
      <c r="C21" s="676">
        <v>4</v>
      </c>
      <c r="E21" s="676" t="s">
        <v>950</v>
      </c>
      <c r="F21" s="675">
        <v>2</v>
      </c>
      <c r="G21" s="777"/>
      <c r="H21" s="676"/>
      <c r="I21" s="663" t="str">
        <f t="shared" si="2"/>
        <v>Organic</v>
      </c>
      <c r="J21" s="676">
        <v>-616.06037583030002</v>
      </c>
      <c r="K21" s="676">
        <v>-34.086454949699998</v>
      </c>
      <c r="L21" s="676">
        <v>866.84865129360003</v>
      </c>
      <c r="M21" s="675">
        <v>927.75688668309999</v>
      </c>
      <c r="N21" s="676">
        <v>-284</v>
      </c>
      <c r="O21" s="676">
        <v>398.65159236390002</v>
      </c>
      <c r="P21" s="676">
        <v>943.64251647779997</v>
      </c>
      <c r="Q21" s="676">
        <v>569.55993699919998</v>
      </c>
      <c r="R21" s="676">
        <v>1316.0526695839001</v>
      </c>
      <c r="S21" s="676">
        <v>277.4176456326</v>
      </c>
      <c r="U21" s="676" t="str">
        <f t="shared" si="3"/>
        <v>Organic</v>
      </c>
      <c r="V21" s="676">
        <v>-6</v>
      </c>
      <c r="W21" s="676">
        <v>0</v>
      </c>
      <c r="X21" s="676">
        <v>9</v>
      </c>
      <c r="Y21" s="675">
        <v>8</v>
      </c>
      <c r="Z21" s="734">
        <v>-2</v>
      </c>
      <c r="AA21" s="676">
        <v>3</v>
      </c>
      <c r="AB21" s="676">
        <v>9</v>
      </c>
      <c r="AC21" s="676">
        <v>5</v>
      </c>
      <c r="AD21" s="676">
        <v>12</v>
      </c>
      <c r="AE21" s="676">
        <v>2</v>
      </c>
    </row>
    <row r="22" spans="1:31">
      <c r="A22" s="663" t="s">
        <v>951</v>
      </c>
      <c r="B22" s="676">
        <v>1195.8943694095001</v>
      </c>
      <c r="C22" s="676">
        <v>-2.0500522536155317</v>
      </c>
      <c r="E22" s="676" t="s">
        <v>951</v>
      </c>
      <c r="F22" s="675">
        <v>2.853300870235123</v>
      </c>
      <c r="G22" s="777"/>
      <c r="H22" s="676"/>
      <c r="I22" s="663" t="str">
        <f t="shared" si="2"/>
        <v>Currency</v>
      </c>
      <c r="J22" s="676">
        <v>668.54796639179995</v>
      </c>
      <c r="K22" s="676">
        <v>428.83425202339998</v>
      </c>
      <c r="L22" s="676">
        <v>167.14557585540001</v>
      </c>
      <c r="M22" s="675">
        <v>-68.633424861099996</v>
      </c>
      <c r="N22" s="676">
        <v>-354.80858628470003</v>
      </c>
      <c r="O22" s="676">
        <v>-169.85950467519999</v>
      </c>
      <c r="P22" s="676">
        <v>-457.2805354555</v>
      </c>
      <c r="Q22" s="676">
        <v>27.954344368000001</v>
      </c>
      <c r="R22" s="676">
        <v>11.4738753486</v>
      </c>
      <c r="S22" s="676">
        <v>-1158.9285278868999</v>
      </c>
      <c r="U22" s="676" t="str">
        <f t="shared" si="3"/>
        <v>Currency</v>
      </c>
      <c r="V22" s="676">
        <v>6.1674627951811951</v>
      </c>
      <c r="W22" s="676">
        <v>3.9353204288550261</v>
      </c>
      <c r="X22" s="676">
        <v>1.707183011220528</v>
      </c>
      <c r="Y22" s="675">
        <v>-0.66089257887791708</v>
      </c>
      <c r="Z22" s="734">
        <v>-3.0746297805215383</v>
      </c>
      <c r="AA22" s="676">
        <v>-1.3998657239939651</v>
      </c>
      <c r="AB22" s="676">
        <v>-4.0429100810488698</v>
      </c>
      <c r="AC22" s="676">
        <v>0.24201686735187666</v>
      </c>
      <c r="AD22" s="676">
        <v>0.10407095774411027</v>
      </c>
      <c r="AE22" s="676">
        <v>-9.3552711614264883</v>
      </c>
    </row>
    <row r="23" spans="1:31">
      <c r="A23" s="680" t="s">
        <v>952</v>
      </c>
      <c r="B23" s="735">
        <v>2423.8045097897002</v>
      </c>
      <c r="C23" s="735">
        <v>0.46069023014563593</v>
      </c>
      <c r="E23" s="680" t="s">
        <v>952</v>
      </c>
      <c r="F23" s="681">
        <v>5.7829886100037591</v>
      </c>
      <c r="G23" s="777"/>
      <c r="H23" s="676"/>
      <c r="I23" s="680" t="str">
        <f t="shared" si="2"/>
        <v>Structure</v>
      </c>
      <c r="J23" s="735">
        <v>646.47346282440003</v>
      </c>
      <c r="K23" s="735">
        <v>983.87715117330004</v>
      </c>
      <c r="L23" s="735">
        <v>485.95968884670003</v>
      </c>
      <c r="M23" s="681">
        <v>307.49420694529999</v>
      </c>
      <c r="N23" s="735">
        <v>124.5615447887</v>
      </c>
      <c r="O23" s="735">
        <v>25.19602813969999</v>
      </c>
      <c r="P23" s="735">
        <v>32.907797496600004</v>
      </c>
      <c r="Q23" s="735">
        <v>31.717382297</v>
      </c>
      <c r="R23" s="735">
        <v>24.636884607999999</v>
      </c>
      <c r="S23" s="735">
        <v>-0.30688069029999998</v>
      </c>
      <c r="U23" s="680" t="str">
        <f t="shared" si="3"/>
        <v>Structure</v>
      </c>
      <c r="V23" s="735">
        <v>5.9638219401969073</v>
      </c>
      <c r="W23" s="735">
        <v>9.0288306827802032</v>
      </c>
      <c r="X23" s="735">
        <v>4.963470440012232</v>
      </c>
      <c r="Y23" s="681">
        <v>2.9609572861820053</v>
      </c>
      <c r="Z23" s="736">
        <v>1.0794006963737879</v>
      </c>
      <c r="AA23" s="735">
        <v>0.20764841061439365</v>
      </c>
      <c r="AB23" s="735">
        <v>0.29094452076687172</v>
      </c>
      <c r="AC23" s="735">
        <v>0.27459565508210848</v>
      </c>
      <c r="AD23" s="735">
        <v>0.22346278821118065</v>
      </c>
      <c r="AE23" s="735">
        <v>-2.4772468731932189E-3</v>
      </c>
    </row>
    <row r="24" spans="1:31">
      <c r="A24" s="663" t="s">
        <v>832</v>
      </c>
      <c r="B24" s="676">
        <v>4764.1575863958997</v>
      </c>
      <c r="C24" s="676">
        <v>2</v>
      </c>
      <c r="E24" s="676" t="s">
        <v>832</v>
      </c>
      <c r="F24" s="675">
        <v>11</v>
      </c>
      <c r="G24" s="777"/>
      <c r="H24" s="676"/>
      <c r="I24" s="663" t="str">
        <f t="shared" si="2"/>
        <v>Total</v>
      </c>
      <c r="J24" s="676">
        <v>699</v>
      </c>
      <c r="K24" s="676">
        <v>1378.624948247</v>
      </c>
      <c r="L24" s="676">
        <v>1519.9539159956998</v>
      </c>
      <c r="M24" s="675">
        <v>1165.6176687673001</v>
      </c>
      <c r="N24" s="676">
        <v>-514</v>
      </c>
      <c r="O24" s="676">
        <v>253.98811582840003</v>
      </c>
      <c r="P24" s="676">
        <v>519.26977851890001</v>
      </c>
      <c r="Q24" s="676">
        <v>629.23166366419991</v>
      </c>
      <c r="R24" s="676">
        <v>1352.1634295404999</v>
      </c>
      <c r="S24" s="676">
        <v>-881.51776294459989</v>
      </c>
      <c r="U24" s="676" t="str">
        <f t="shared" si="3"/>
        <v>Total</v>
      </c>
      <c r="V24" s="676">
        <v>6</v>
      </c>
      <c r="W24" s="676">
        <v>13</v>
      </c>
      <c r="X24" s="676">
        <v>16</v>
      </c>
      <c r="Y24" s="675">
        <v>10</v>
      </c>
      <c r="Z24" s="734">
        <v>-4</v>
      </c>
      <c r="AA24" s="676">
        <v>2</v>
      </c>
      <c r="AB24" s="676">
        <v>5</v>
      </c>
      <c r="AC24" s="676">
        <v>5</v>
      </c>
      <c r="AD24" s="676">
        <v>12</v>
      </c>
      <c r="AE24" s="676">
        <v>-7</v>
      </c>
    </row>
    <row r="25" spans="1:31" ht="10.5">
      <c r="A25" s="671" t="s">
        <v>953</v>
      </c>
      <c r="B25" s="673">
        <v>46676.820281198001</v>
      </c>
      <c r="C25" s="673">
        <v>47422.780079416996</v>
      </c>
      <c r="E25" s="673" t="s">
        <v>953</v>
      </c>
      <c r="F25" s="672">
        <v>46676.820281198001</v>
      </c>
      <c r="G25" s="776"/>
      <c r="H25" s="676"/>
      <c r="I25" s="671" t="str">
        <f t="shared" si="2"/>
        <v>Operational closing balance</v>
      </c>
      <c r="J25" s="673">
        <v>11539</v>
      </c>
      <c r="K25" s="673">
        <v>12275.685550454898</v>
      </c>
      <c r="L25" s="673">
        <v>11310.677860460301</v>
      </c>
      <c r="M25" s="672">
        <v>11550.5768973348</v>
      </c>
      <c r="N25" s="673">
        <v>11025.0502131554</v>
      </c>
      <c r="O25" s="673">
        <v>12387.9736662834</v>
      </c>
      <c r="P25" s="673">
        <v>11829.9476389789</v>
      </c>
      <c r="Q25" s="673">
        <v>12179.8085609993</v>
      </c>
      <c r="R25" s="673">
        <v>12377.213642696001</v>
      </c>
      <c r="S25" s="673">
        <v>11506.455903338599</v>
      </c>
      <c r="U25" s="673" t="str">
        <f t="shared" si="3"/>
        <v>Operational closing balance</v>
      </c>
      <c r="V25" s="673">
        <v>11539</v>
      </c>
      <c r="W25" s="673">
        <v>12275.685550454898</v>
      </c>
      <c r="X25" s="673">
        <v>11310.677860460301</v>
      </c>
      <c r="Y25" s="672">
        <v>11550.5768973348</v>
      </c>
      <c r="Z25" s="674">
        <v>11025.0502131554</v>
      </c>
      <c r="AA25" s="673">
        <v>12387.9736662834</v>
      </c>
      <c r="AB25" s="673">
        <v>11829.9476389789</v>
      </c>
      <c r="AC25" s="673">
        <v>12179.8085609993</v>
      </c>
      <c r="AD25" s="673">
        <v>12377.213642696001</v>
      </c>
      <c r="AE25" s="673">
        <v>11506.455903338599</v>
      </c>
    </row>
    <row r="26" spans="1:31">
      <c r="A26" s="663" t="s">
        <v>972</v>
      </c>
      <c r="B26" s="676">
        <v>30.5</v>
      </c>
      <c r="C26" s="676">
        <v>0</v>
      </c>
      <c r="E26" s="676" t="s">
        <v>972</v>
      </c>
      <c r="F26" s="675">
        <v>7.1443692235391001E-2</v>
      </c>
      <c r="G26" s="777"/>
      <c r="H26" s="676"/>
      <c r="I26" s="663" t="str">
        <f t="shared" si="2"/>
        <v>Adjustment OOH</v>
      </c>
      <c r="J26" s="676">
        <v>30.5</v>
      </c>
      <c r="K26" s="676">
        <v>0</v>
      </c>
      <c r="L26" s="676">
        <v>0</v>
      </c>
      <c r="M26" s="675">
        <v>0</v>
      </c>
      <c r="N26" s="676">
        <v>0</v>
      </c>
      <c r="O26" s="676">
        <v>0</v>
      </c>
      <c r="P26" s="676">
        <v>0</v>
      </c>
      <c r="Q26" s="676">
        <v>0</v>
      </c>
      <c r="R26" s="676">
        <v>0</v>
      </c>
      <c r="S26" s="676">
        <v>0</v>
      </c>
      <c r="U26" s="676" t="str">
        <f t="shared" si="3"/>
        <v>Adjustment OOH</v>
      </c>
      <c r="V26" s="676">
        <v>0.28136741820973055</v>
      </c>
      <c r="W26" s="676">
        <v>0</v>
      </c>
      <c r="X26" s="676">
        <v>0</v>
      </c>
      <c r="Y26" s="675">
        <v>0</v>
      </c>
      <c r="Z26" s="734">
        <v>0</v>
      </c>
      <c r="AA26" s="676">
        <v>0</v>
      </c>
      <c r="AB26" s="676">
        <v>0</v>
      </c>
      <c r="AC26" s="676">
        <v>0</v>
      </c>
      <c r="AD26" s="676">
        <v>0</v>
      </c>
      <c r="AE26" s="676">
        <v>0</v>
      </c>
    </row>
    <row r="27" spans="1:31" ht="10.5">
      <c r="A27" s="767" t="s">
        <v>954</v>
      </c>
      <c r="B27" s="732">
        <f>46708</f>
        <v>46708</v>
      </c>
      <c r="C27" s="732">
        <v>47422.780079416996</v>
      </c>
      <c r="E27" s="767" t="s">
        <v>954</v>
      </c>
      <c r="F27" s="731">
        <v>46708</v>
      </c>
      <c r="G27" s="776"/>
      <c r="H27" s="676"/>
      <c r="I27" s="767" t="str">
        <f t="shared" si="2"/>
        <v>Reported closing balance</v>
      </c>
      <c r="J27" s="732">
        <v>11570.379972948</v>
      </c>
      <c r="K27" s="732">
        <v>12275.6855504549</v>
      </c>
      <c r="L27" s="732">
        <v>11310.677860460301</v>
      </c>
      <c r="M27" s="731">
        <v>11550.5768973348</v>
      </c>
      <c r="N27" s="732">
        <v>11025.0502131554</v>
      </c>
      <c r="O27" s="732">
        <v>12387.9736662834</v>
      </c>
      <c r="P27" s="732">
        <v>11829.9476389789</v>
      </c>
      <c r="Q27" s="732">
        <v>12179.8085609993</v>
      </c>
      <c r="R27" s="732">
        <v>12377.213642696001</v>
      </c>
      <c r="S27" s="732">
        <v>11506.455903338599</v>
      </c>
      <c r="U27" s="767" t="str">
        <f t="shared" si="3"/>
        <v>Reported closing balance</v>
      </c>
      <c r="V27" s="732">
        <v>11570.379972948</v>
      </c>
      <c r="W27" s="732">
        <v>12275.6855504549</v>
      </c>
      <c r="X27" s="732">
        <v>11310.677860460301</v>
      </c>
      <c r="Y27" s="731">
        <v>11550.5768973348</v>
      </c>
      <c r="Z27" s="768">
        <v>11025.0502131554</v>
      </c>
      <c r="AA27" s="732">
        <v>12387.9736662834</v>
      </c>
      <c r="AB27" s="732">
        <v>11829.9476389789</v>
      </c>
      <c r="AC27" s="732">
        <v>12179.8085609993</v>
      </c>
      <c r="AD27" s="732">
        <v>12377.213642696001</v>
      </c>
      <c r="AE27" s="732">
        <v>11506.455903338599</v>
      </c>
    </row>
    <row r="28" spans="1:31">
      <c r="F28" s="772"/>
      <c r="H28" s="676"/>
      <c r="M28" s="772"/>
    </row>
    <row r="29" spans="1:31" ht="10.5">
      <c r="A29" s="665" t="s">
        <v>13</v>
      </c>
      <c r="B29" s="665"/>
      <c r="C29" s="665"/>
      <c r="E29" s="665" t="s">
        <v>13</v>
      </c>
      <c r="F29" s="666"/>
      <c r="G29" s="775"/>
      <c r="H29" s="676"/>
      <c r="I29" s="665" t="str">
        <f t="shared" ref="I29:I40" si="4">A29</f>
        <v>Orders received</v>
      </c>
      <c r="J29" s="665"/>
      <c r="K29" s="665"/>
      <c r="L29" s="665"/>
      <c r="M29" s="666"/>
      <c r="N29" s="665"/>
      <c r="O29" s="665"/>
      <c r="P29" s="665"/>
      <c r="Q29" s="665"/>
      <c r="R29" s="665"/>
      <c r="S29" s="665"/>
      <c r="U29" s="665" t="str">
        <f t="shared" ref="U29:U40" si="5">E29</f>
        <v>Orders received</v>
      </c>
      <c r="V29" s="665"/>
      <c r="W29" s="665"/>
      <c r="X29" s="665"/>
      <c r="Y29" s="666"/>
      <c r="Z29" s="667"/>
      <c r="AA29" s="665"/>
      <c r="AB29" s="665"/>
      <c r="AC29" s="665"/>
      <c r="AD29" s="665"/>
      <c r="AE29" s="665"/>
    </row>
    <row r="30" spans="1:31" ht="10.5">
      <c r="A30" s="764" t="s">
        <v>104</v>
      </c>
      <c r="B30" s="764">
        <v>2023</v>
      </c>
      <c r="C30" s="764">
        <v>2024</v>
      </c>
      <c r="E30" s="764" t="s">
        <v>104</v>
      </c>
      <c r="F30" s="765">
        <v>2023</v>
      </c>
      <c r="G30" s="775"/>
      <c r="H30" s="676"/>
      <c r="I30" s="764" t="str">
        <f t="shared" si="4"/>
        <v xml:space="preserve">Equipment </v>
      </c>
      <c r="J30" s="764" t="s">
        <v>803</v>
      </c>
      <c r="K30" s="764" t="s">
        <v>812</v>
      </c>
      <c r="L30" s="764" t="s">
        <v>816</v>
      </c>
      <c r="M30" s="765" t="s">
        <v>835</v>
      </c>
      <c r="N30" s="764" t="s">
        <v>872</v>
      </c>
      <c r="O30" s="764" t="s">
        <v>986</v>
      </c>
      <c r="P30" s="764" t="s">
        <v>1016</v>
      </c>
      <c r="Q30" s="764" t="s">
        <v>1039</v>
      </c>
      <c r="R30" s="764" t="s">
        <v>1076</v>
      </c>
      <c r="S30" s="764" t="s">
        <v>1285</v>
      </c>
      <c r="U30" s="764" t="str">
        <f t="shared" si="5"/>
        <v xml:space="preserve">Equipment </v>
      </c>
      <c r="V30" s="764" t="s">
        <v>803</v>
      </c>
      <c r="W30" s="764" t="s">
        <v>812</v>
      </c>
      <c r="X30" s="764" t="s">
        <v>816</v>
      </c>
      <c r="Y30" s="765" t="s">
        <v>835</v>
      </c>
      <c r="Z30" s="766" t="s">
        <v>872</v>
      </c>
      <c r="AA30" s="764" t="s">
        <v>986</v>
      </c>
      <c r="AB30" s="764" t="s">
        <v>1016</v>
      </c>
      <c r="AC30" s="764" t="s">
        <v>1039</v>
      </c>
      <c r="AD30" s="764" t="s">
        <v>1076</v>
      </c>
      <c r="AE30" s="764" t="s">
        <v>1285</v>
      </c>
    </row>
    <row r="31" spans="1:31" ht="10.5">
      <c r="A31" s="671" t="s">
        <v>947</v>
      </c>
      <c r="B31" s="673">
        <v>19395.539111093902</v>
      </c>
      <c r="C31" s="673">
        <v>20218.8042561775</v>
      </c>
      <c r="E31" s="671" t="s">
        <v>947</v>
      </c>
      <c r="F31" s="672">
        <v>19395.539111093902</v>
      </c>
      <c r="G31" s="776"/>
      <c r="H31" s="676"/>
      <c r="I31" s="671" t="str">
        <f t="shared" si="4"/>
        <v>Reported opening balance</v>
      </c>
      <c r="J31" s="673">
        <v>5694.2125319508004</v>
      </c>
      <c r="K31" s="673">
        <v>5379.1097467904992</v>
      </c>
      <c r="L31" s="673">
        <v>4037.4272041078002</v>
      </c>
      <c r="M31" s="672">
        <v>4284.7896282448</v>
      </c>
      <c r="N31" s="673">
        <v>5151</v>
      </c>
      <c r="O31" s="673">
        <v>5404.0296979431005</v>
      </c>
      <c r="P31" s="673">
        <v>4738.9664292752004</v>
      </c>
      <c r="Q31" s="673">
        <v>4923.7257207490002</v>
      </c>
      <c r="R31" s="673">
        <v>4404.4101382397002</v>
      </c>
      <c r="S31" s="673">
        <v>5405.6293657841006</v>
      </c>
      <c r="U31" s="671" t="str">
        <f t="shared" si="5"/>
        <v>Reported opening balance</v>
      </c>
      <c r="V31" s="673">
        <v>5694.2125319508004</v>
      </c>
      <c r="W31" s="673">
        <v>5379.1097467904992</v>
      </c>
      <c r="X31" s="673">
        <v>4037.4272041078002</v>
      </c>
      <c r="Y31" s="672">
        <v>4284.7896282448</v>
      </c>
      <c r="Z31" s="674">
        <v>5151</v>
      </c>
      <c r="AA31" s="673">
        <v>5404.0296979431005</v>
      </c>
      <c r="AB31" s="673">
        <v>4738.9664292752004</v>
      </c>
      <c r="AC31" s="673">
        <v>4923.7257207490002</v>
      </c>
      <c r="AD31" s="673">
        <v>4404.4101382397002</v>
      </c>
      <c r="AE31" s="673">
        <v>5405.6293657841006</v>
      </c>
    </row>
    <row r="32" spans="1:31">
      <c r="A32" s="663" t="s">
        <v>972</v>
      </c>
      <c r="B32" s="677">
        <v>0</v>
      </c>
      <c r="C32" s="677">
        <v>0.17112782517506481</v>
      </c>
      <c r="E32" s="663" t="s">
        <v>972</v>
      </c>
      <c r="F32" s="675">
        <v>0</v>
      </c>
      <c r="G32" s="777"/>
      <c r="H32" s="676"/>
      <c r="I32" s="663" t="str">
        <f t="shared" si="4"/>
        <v>Adjustment OOH</v>
      </c>
      <c r="J32" s="677">
        <v>0</v>
      </c>
      <c r="K32" s="677">
        <v>0</v>
      </c>
      <c r="L32" s="677">
        <v>0</v>
      </c>
      <c r="M32" s="678">
        <v>0</v>
      </c>
      <c r="N32" s="677">
        <v>0</v>
      </c>
      <c r="O32" s="677">
        <v>-56.5</v>
      </c>
      <c r="P32" s="677">
        <v>91.1</v>
      </c>
      <c r="Q32" s="677">
        <v>0</v>
      </c>
      <c r="R32" s="677">
        <v>0</v>
      </c>
      <c r="S32" s="677">
        <v>0</v>
      </c>
      <c r="U32" s="663" t="str">
        <f t="shared" si="5"/>
        <v>Adjustment OOH</v>
      </c>
      <c r="V32" s="677">
        <v>0</v>
      </c>
      <c r="W32" s="677">
        <v>0</v>
      </c>
      <c r="X32" s="677">
        <v>0</v>
      </c>
      <c r="Y32" s="678">
        <v>0</v>
      </c>
      <c r="Z32" s="679">
        <v>0</v>
      </c>
      <c r="AA32" s="677">
        <v>-1.0455160899930882</v>
      </c>
      <c r="AB32" s="677">
        <v>1.9223601044570653</v>
      </c>
      <c r="AC32" s="677">
        <v>0</v>
      </c>
      <c r="AD32" s="677">
        <v>0</v>
      </c>
      <c r="AE32" s="677">
        <v>0</v>
      </c>
    </row>
    <row r="33" spans="1:31" ht="10.5">
      <c r="A33" s="671" t="s">
        <v>949</v>
      </c>
      <c r="B33" s="673">
        <v>19395.539111093902</v>
      </c>
      <c r="C33" s="673">
        <v>20253.404256177502</v>
      </c>
      <c r="E33" s="671" t="s">
        <v>949</v>
      </c>
      <c r="F33" s="672">
        <v>19395.539111093902</v>
      </c>
      <c r="G33" s="776"/>
      <c r="H33" s="676"/>
      <c r="I33" s="671" t="str">
        <f t="shared" si="4"/>
        <v>Adjusted opening balance</v>
      </c>
      <c r="J33" s="673">
        <v>5694.2125319508004</v>
      </c>
      <c r="K33" s="673">
        <v>5379.1097467904992</v>
      </c>
      <c r="L33" s="673">
        <v>4037.4272041078002</v>
      </c>
      <c r="M33" s="672">
        <v>4284.7896282448</v>
      </c>
      <c r="N33" s="673">
        <v>5151</v>
      </c>
      <c r="O33" s="673">
        <v>5347.5296979431005</v>
      </c>
      <c r="P33" s="673">
        <v>4830.0664292752008</v>
      </c>
      <c r="Q33" s="673">
        <v>4923.7257207490002</v>
      </c>
      <c r="R33" s="673">
        <v>4404.4101382397002</v>
      </c>
      <c r="S33" s="673">
        <v>5405.6293657841006</v>
      </c>
      <c r="U33" s="671" t="str">
        <f t="shared" si="5"/>
        <v>Adjusted opening balance</v>
      </c>
      <c r="V33" s="673">
        <v>5694.2125319508004</v>
      </c>
      <c r="W33" s="673">
        <v>5379.1097467904992</v>
      </c>
      <c r="X33" s="673">
        <v>4037.4272041078002</v>
      </c>
      <c r="Y33" s="672">
        <v>4284.7896282448</v>
      </c>
      <c r="Z33" s="674">
        <v>5151</v>
      </c>
      <c r="AA33" s="673">
        <v>5347.5296979431005</v>
      </c>
      <c r="AB33" s="673">
        <v>4830.0664292752008</v>
      </c>
      <c r="AC33" s="673">
        <v>4923.7257207490002</v>
      </c>
      <c r="AD33" s="673">
        <v>4404.4101382397002</v>
      </c>
      <c r="AE33" s="673">
        <v>5405.6293657841006</v>
      </c>
    </row>
    <row r="34" spans="1:31">
      <c r="A34" s="663" t="s">
        <v>950</v>
      </c>
      <c r="B34" s="676">
        <v>-376</v>
      </c>
      <c r="C34" s="733">
        <v>-1</v>
      </c>
      <c r="E34" s="663" t="s">
        <v>950</v>
      </c>
      <c r="F34" s="675">
        <v>-2</v>
      </c>
      <c r="G34" s="777"/>
      <c r="H34" s="676"/>
      <c r="I34" s="663" t="str">
        <f t="shared" si="4"/>
        <v>Organic</v>
      </c>
      <c r="J34" s="676">
        <v>-943.96503830770007</v>
      </c>
      <c r="K34" s="676">
        <v>-465.92821176210003</v>
      </c>
      <c r="L34" s="676">
        <v>472.61123070550002</v>
      </c>
      <c r="M34" s="675">
        <v>563</v>
      </c>
      <c r="N34" s="676">
        <v>-840</v>
      </c>
      <c r="O34" s="676">
        <v>113.22656218980001</v>
      </c>
      <c r="P34" s="676">
        <v>553.17403851439997</v>
      </c>
      <c r="Q34" s="676">
        <v>50.03733108619997</v>
      </c>
      <c r="R34" s="676">
        <v>1290.2374721124002</v>
      </c>
      <c r="S34" s="676">
        <v>89.367586804900043</v>
      </c>
      <c r="U34" s="663" t="str">
        <f t="shared" si="5"/>
        <v>Organic</v>
      </c>
      <c r="V34" s="733">
        <v>-17</v>
      </c>
      <c r="W34" s="733">
        <v>-9</v>
      </c>
      <c r="X34" s="733">
        <v>12</v>
      </c>
      <c r="Y34" s="744">
        <v>13</v>
      </c>
      <c r="Z34" s="745">
        <v>-17</v>
      </c>
      <c r="AA34" s="733">
        <v>2</v>
      </c>
      <c r="AB34" s="733">
        <v>11</v>
      </c>
      <c r="AC34" s="733">
        <v>1</v>
      </c>
      <c r="AD34" s="733">
        <v>29</v>
      </c>
      <c r="AE34" s="733">
        <v>2</v>
      </c>
    </row>
    <row r="35" spans="1:31">
      <c r="A35" s="663" t="s">
        <v>951</v>
      </c>
      <c r="B35" s="676">
        <v>540.68514887719994</v>
      </c>
      <c r="C35" s="733">
        <v>-1.8001099469803858</v>
      </c>
      <c r="E35" s="663" t="s">
        <v>951</v>
      </c>
      <c r="F35" s="675">
        <v>2.7876778561310407</v>
      </c>
      <c r="G35" s="777"/>
      <c r="H35" s="676"/>
      <c r="I35" s="663" t="str">
        <f t="shared" si="4"/>
        <v>Currency</v>
      </c>
      <c r="J35" s="676">
        <v>298.48068590659994</v>
      </c>
      <c r="K35" s="676">
        <v>162.16146301239996</v>
      </c>
      <c r="L35" s="676">
        <v>93.201656116400002</v>
      </c>
      <c r="M35" s="675">
        <v>-13.158656158199996</v>
      </c>
      <c r="N35" s="676">
        <v>-144.90575629210002</v>
      </c>
      <c r="O35" s="676">
        <v>-55.168525864799989</v>
      </c>
      <c r="P35" s="676">
        <v>-216.29544746110003</v>
      </c>
      <c r="Q35" s="676">
        <v>51.786185000399996</v>
      </c>
      <c r="R35" s="676">
        <v>27.188059376200002</v>
      </c>
      <c r="S35" s="676">
        <v>-486.24470933189991</v>
      </c>
      <c r="U35" s="663" t="str">
        <f t="shared" si="5"/>
        <v>Currency</v>
      </c>
      <c r="V35" s="733">
        <v>5.2418255242809204</v>
      </c>
      <c r="W35" s="733">
        <v>3.0146524359194427</v>
      </c>
      <c r="X35" s="733">
        <v>2.3084417725618391</v>
      </c>
      <c r="Y35" s="744">
        <v>-0.30710156856849569</v>
      </c>
      <c r="Z35" s="745">
        <v>-2.812566741191536</v>
      </c>
      <c r="AA35" s="733">
        <v>-1.0316637584270036</v>
      </c>
      <c r="AB35" s="733">
        <v>-4.4781050246043366</v>
      </c>
      <c r="AC35" s="733">
        <v>1.0517682734066318</v>
      </c>
      <c r="AD35" s="733">
        <v>0.61729172631198659</v>
      </c>
      <c r="AE35" s="733">
        <v>-8.9951544293745496</v>
      </c>
    </row>
    <row r="36" spans="1:31">
      <c r="A36" s="680" t="s">
        <v>952</v>
      </c>
      <c r="B36" s="735">
        <v>656.80053778390027</v>
      </c>
      <c r="C36" s="735">
        <v>1.6688545263362651</v>
      </c>
      <c r="E36" s="680" t="s">
        <v>952</v>
      </c>
      <c r="F36" s="681">
        <v>3.3863484485884805</v>
      </c>
      <c r="G36" s="777"/>
      <c r="H36" s="676"/>
      <c r="I36" s="680" t="str">
        <f t="shared" si="4"/>
        <v>Structure</v>
      </c>
      <c r="J36" s="735">
        <v>103.35359044080008</v>
      </c>
      <c r="K36" s="735">
        <v>328.68756792480008</v>
      </c>
      <c r="L36" s="735">
        <v>135.72640108350004</v>
      </c>
      <c r="M36" s="681">
        <v>89.032978334800077</v>
      </c>
      <c r="N36" s="735">
        <v>238.08620247520003</v>
      </c>
      <c r="O36" s="735">
        <v>4.1631516199984731E-2</v>
      </c>
      <c r="P36" s="735">
        <v>3.3925519586000306</v>
      </c>
      <c r="Q36" s="735">
        <v>96.479467716399995</v>
      </c>
      <c r="R36" s="735">
        <v>3.000018011789507E-10</v>
      </c>
      <c r="S36" s="735">
        <v>1.9309700000025298E-5</v>
      </c>
      <c r="U36" s="680" t="str">
        <f t="shared" si="5"/>
        <v>Structure</v>
      </c>
      <c r="V36" s="735">
        <v>1.8150638013750393</v>
      </c>
      <c r="W36" s="735">
        <v>6.1104454714075107</v>
      </c>
      <c r="X36" s="735">
        <v>3.3617052202305446</v>
      </c>
      <c r="Y36" s="681">
        <v>2.0778844718047709</v>
      </c>
      <c r="Z36" s="736">
        <v>4.6211644847876112</v>
      </c>
      <c r="AA36" s="735">
        <v>7.7851865350085062E-4</v>
      </c>
      <c r="AB36" s="735">
        <v>7.0238204966243431E-2</v>
      </c>
      <c r="AC36" s="735">
        <v>1.9594809538197322</v>
      </c>
      <c r="AD36" s="735">
        <v>6.8113956639572105E-12</v>
      </c>
      <c r="AE36" s="735">
        <v>3.5721464964374926E-7</v>
      </c>
    </row>
    <row r="37" spans="1:31">
      <c r="A37" s="663" t="s">
        <v>832</v>
      </c>
      <c r="B37" s="676">
        <v>822</v>
      </c>
      <c r="C37" s="733">
        <v>-1</v>
      </c>
      <c r="E37" s="663" t="s">
        <v>832</v>
      </c>
      <c r="F37" s="675">
        <v>4</v>
      </c>
      <c r="G37" s="777"/>
      <c r="H37" s="676"/>
      <c r="I37" s="663" t="str">
        <f t="shared" si="4"/>
        <v>Total</v>
      </c>
      <c r="J37" s="676">
        <v>-543.13076196029999</v>
      </c>
      <c r="K37" s="676">
        <v>24.920819175100007</v>
      </c>
      <c r="L37" s="676">
        <v>701.5392879054001</v>
      </c>
      <c r="M37" s="675">
        <v>639</v>
      </c>
      <c r="N37" s="676">
        <v>-747</v>
      </c>
      <c r="O37" s="676">
        <v>58.099667841200002</v>
      </c>
      <c r="P37" s="676">
        <v>340.27114301189999</v>
      </c>
      <c r="Q37" s="676">
        <v>198.30298380299996</v>
      </c>
      <c r="R37" s="676">
        <v>1317.4255314889001</v>
      </c>
      <c r="S37" s="676">
        <v>-396.87710321729986</v>
      </c>
      <c r="U37" s="663" t="str">
        <f t="shared" si="5"/>
        <v>Total</v>
      </c>
      <c r="V37" s="733">
        <v>-10</v>
      </c>
      <c r="W37" s="733">
        <v>0</v>
      </c>
      <c r="X37" s="733">
        <v>17</v>
      </c>
      <c r="Y37" s="744">
        <v>15</v>
      </c>
      <c r="Z37" s="745">
        <v>-15</v>
      </c>
      <c r="AA37" s="733">
        <v>1</v>
      </c>
      <c r="AB37" s="733">
        <v>7</v>
      </c>
      <c r="AC37" s="733">
        <v>4</v>
      </c>
      <c r="AD37" s="733">
        <v>30</v>
      </c>
      <c r="AE37" s="733">
        <v>-7</v>
      </c>
    </row>
    <row r="38" spans="1:31" ht="10.5">
      <c r="A38" s="671" t="s">
        <v>953</v>
      </c>
      <c r="B38" s="673">
        <v>20218</v>
      </c>
      <c r="C38" s="673">
        <v>20102.405780863002</v>
      </c>
      <c r="E38" s="671" t="s">
        <v>953</v>
      </c>
      <c r="F38" s="672">
        <v>20218</v>
      </c>
      <c r="G38" s="776"/>
      <c r="H38" s="676"/>
      <c r="I38" s="671" t="str">
        <f t="shared" si="4"/>
        <v>Operational closing balance</v>
      </c>
      <c r="J38" s="673">
        <v>5151.0817699905001</v>
      </c>
      <c r="K38" s="673">
        <v>5404.0305659655996</v>
      </c>
      <c r="L38" s="673">
        <v>4738.9664920132</v>
      </c>
      <c r="M38" s="672">
        <v>4924</v>
      </c>
      <c r="N38" s="673">
        <v>4404.4101382396002</v>
      </c>
      <c r="O38" s="673">
        <v>5405.6293657843007</v>
      </c>
      <c r="P38" s="673">
        <v>5170.3375722871006</v>
      </c>
      <c r="Q38" s="673">
        <v>5122.0287045519999</v>
      </c>
      <c r="R38" s="673">
        <v>5721.8356697285999</v>
      </c>
      <c r="S38" s="673">
        <v>5008.7522625668007</v>
      </c>
      <c r="U38" s="671" t="str">
        <f t="shared" si="5"/>
        <v>Operational closing balance</v>
      </c>
      <c r="V38" s="673">
        <v>5151.0817699905001</v>
      </c>
      <c r="W38" s="673">
        <v>5404.0305659655996</v>
      </c>
      <c r="X38" s="673">
        <v>4738.9664920132</v>
      </c>
      <c r="Y38" s="672">
        <v>4924</v>
      </c>
      <c r="Z38" s="674">
        <v>4404.4101382396002</v>
      </c>
      <c r="AA38" s="673">
        <v>5405.6293657843007</v>
      </c>
      <c r="AB38" s="673">
        <v>5170.3375722871006</v>
      </c>
      <c r="AC38" s="673">
        <v>5122.0287045519999</v>
      </c>
      <c r="AD38" s="673">
        <v>5721.8356697285999</v>
      </c>
      <c r="AE38" s="673">
        <v>5008.7522625668007</v>
      </c>
    </row>
    <row r="39" spans="1:31">
      <c r="A39" s="663" t="s">
        <v>972</v>
      </c>
      <c r="B39" s="676">
        <v>0</v>
      </c>
      <c r="C39" s="677">
        <v>0</v>
      </c>
      <c r="E39" s="663" t="s">
        <v>972</v>
      </c>
      <c r="F39" s="675">
        <v>0</v>
      </c>
      <c r="G39" s="777"/>
      <c r="H39" s="676"/>
      <c r="I39" s="663" t="str">
        <f t="shared" si="4"/>
        <v>Adjustment OOH</v>
      </c>
      <c r="J39" s="676">
        <v>0</v>
      </c>
      <c r="K39" s="676">
        <v>0</v>
      </c>
      <c r="L39" s="676">
        <v>0</v>
      </c>
      <c r="M39" s="675">
        <v>0</v>
      </c>
      <c r="N39" s="676">
        <v>0</v>
      </c>
      <c r="O39" s="676">
        <v>0</v>
      </c>
      <c r="P39" s="676">
        <v>0</v>
      </c>
      <c r="Q39" s="676">
        <v>0</v>
      </c>
      <c r="R39" s="676">
        <v>0</v>
      </c>
      <c r="S39" s="676">
        <v>0</v>
      </c>
      <c r="U39" s="663" t="str">
        <f t="shared" si="5"/>
        <v>Adjustment OOH</v>
      </c>
      <c r="V39" s="677">
        <v>0</v>
      </c>
      <c r="W39" s="677">
        <v>0</v>
      </c>
      <c r="X39" s="677">
        <v>0</v>
      </c>
      <c r="Y39" s="678">
        <v>0</v>
      </c>
      <c r="Z39" s="679">
        <v>0</v>
      </c>
      <c r="AA39" s="677">
        <v>0</v>
      </c>
      <c r="AB39" s="677">
        <v>0</v>
      </c>
      <c r="AC39" s="677">
        <v>0</v>
      </c>
      <c r="AD39" s="677">
        <v>0</v>
      </c>
      <c r="AE39" s="677">
        <v>0</v>
      </c>
    </row>
    <row r="40" spans="1:31" ht="10.5">
      <c r="A40" s="767" t="s">
        <v>954</v>
      </c>
      <c r="B40" s="732">
        <v>20218</v>
      </c>
      <c r="C40" s="732">
        <v>20102.405780863002</v>
      </c>
      <c r="E40" s="767" t="s">
        <v>954</v>
      </c>
      <c r="F40" s="731">
        <v>20218</v>
      </c>
      <c r="G40" s="776"/>
      <c r="H40" s="676"/>
      <c r="I40" s="767" t="str">
        <f t="shared" si="4"/>
        <v>Reported closing balance</v>
      </c>
      <c r="J40" s="732">
        <v>5151.0824082101999</v>
      </c>
      <c r="K40" s="732">
        <v>5404.0296979430004</v>
      </c>
      <c r="L40" s="732">
        <v>4739.3664292755002</v>
      </c>
      <c r="M40" s="731">
        <v>4924</v>
      </c>
      <c r="N40" s="732">
        <v>4404.4101382396002</v>
      </c>
      <c r="O40" s="732">
        <v>5405.6293657843007</v>
      </c>
      <c r="P40" s="732">
        <v>5170.3375722870996</v>
      </c>
      <c r="Q40" s="732">
        <v>5122.0287045519999</v>
      </c>
      <c r="R40" s="732">
        <v>5721.8356697286008</v>
      </c>
      <c r="S40" s="732">
        <v>5008.7522625667989</v>
      </c>
      <c r="U40" s="767" t="str">
        <f t="shared" si="5"/>
        <v>Reported closing balance</v>
      </c>
      <c r="V40" s="732">
        <v>5151.0824082101999</v>
      </c>
      <c r="W40" s="732">
        <v>5404.0296979430004</v>
      </c>
      <c r="X40" s="732">
        <v>4739.3664292755002</v>
      </c>
      <c r="Y40" s="731">
        <v>4924</v>
      </c>
      <c r="Z40" s="768">
        <v>4404.4101382396002</v>
      </c>
      <c r="AA40" s="732">
        <v>5405.6293657843007</v>
      </c>
      <c r="AB40" s="732">
        <v>5170.3375722870996</v>
      </c>
      <c r="AC40" s="732">
        <v>5122.0287045519999</v>
      </c>
      <c r="AD40" s="732">
        <v>5721.8356697286008</v>
      </c>
      <c r="AE40" s="732">
        <v>5008.7522625667989</v>
      </c>
    </row>
    <row r="41" spans="1:31">
      <c r="F41" s="772"/>
      <c r="H41" s="676"/>
      <c r="M41" s="772"/>
    </row>
    <row r="42" spans="1:31" ht="10.5">
      <c r="A42" s="665" t="s">
        <v>13</v>
      </c>
      <c r="B42" s="665"/>
      <c r="C42" s="665"/>
      <c r="E42" s="665" t="s">
        <v>13</v>
      </c>
      <c r="F42" s="666"/>
      <c r="G42" s="775"/>
      <c r="H42" s="676"/>
      <c r="I42" s="665" t="str">
        <f t="shared" ref="I42:I53" si="6">A42</f>
        <v>Orders received</v>
      </c>
      <c r="J42" s="665"/>
      <c r="K42" s="665"/>
      <c r="L42" s="665"/>
      <c r="M42" s="666"/>
      <c r="N42" s="665"/>
      <c r="O42" s="665"/>
      <c r="P42" s="665"/>
      <c r="Q42" s="665"/>
      <c r="R42" s="665"/>
      <c r="S42" s="665"/>
      <c r="U42" s="665" t="str">
        <f t="shared" ref="U42:U53" si="7">E42</f>
        <v>Orders received</v>
      </c>
      <c r="V42" s="665"/>
      <c r="W42" s="665"/>
      <c r="X42" s="665"/>
      <c r="Y42" s="666"/>
      <c r="Z42" s="667"/>
      <c r="AA42" s="665"/>
      <c r="AB42" s="665"/>
      <c r="AC42" s="665"/>
      <c r="AD42" s="665"/>
      <c r="AE42" s="665"/>
    </row>
    <row r="43" spans="1:31" ht="10.5">
      <c r="A43" s="764" t="s">
        <v>72</v>
      </c>
      <c r="B43" s="764">
        <v>2023</v>
      </c>
      <c r="C43" s="764">
        <v>2024</v>
      </c>
      <c r="E43" s="764" t="s">
        <v>72</v>
      </c>
      <c r="F43" s="765">
        <v>2023</v>
      </c>
      <c r="G43" s="775"/>
      <c r="H43" s="676"/>
      <c r="I43" s="764" t="str">
        <f t="shared" si="6"/>
        <v>Service</v>
      </c>
      <c r="J43" s="764" t="s">
        <v>803</v>
      </c>
      <c r="K43" s="764" t="s">
        <v>812</v>
      </c>
      <c r="L43" s="764" t="s">
        <v>816</v>
      </c>
      <c r="M43" s="765" t="s">
        <v>835</v>
      </c>
      <c r="N43" s="764" t="s">
        <v>872</v>
      </c>
      <c r="O43" s="764" t="s">
        <v>986</v>
      </c>
      <c r="P43" s="764" t="s">
        <v>1016</v>
      </c>
      <c r="Q43" s="764" t="s">
        <v>1039</v>
      </c>
      <c r="R43" s="764" t="s">
        <v>1076</v>
      </c>
      <c r="S43" s="764" t="s">
        <v>1285</v>
      </c>
      <c r="U43" s="764" t="str">
        <f t="shared" si="7"/>
        <v>Service</v>
      </c>
      <c r="V43" s="764" t="s">
        <v>803</v>
      </c>
      <c r="W43" s="764" t="s">
        <v>812</v>
      </c>
      <c r="X43" s="764" t="s">
        <v>816</v>
      </c>
      <c r="Y43" s="765" t="s">
        <v>835</v>
      </c>
      <c r="Z43" s="766" t="s">
        <v>872</v>
      </c>
      <c r="AA43" s="764" t="s">
        <v>986</v>
      </c>
      <c r="AB43" s="764" t="s">
        <v>1016</v>
      </c>
      <c r="AC43" s="764" t="s">
        <v>1039</v>
      </c>
      <c r="AD43" s="764" t="s">
        <v>1076</v>
      </c>
      <c r="AE43" s="764" t="s">
        <v>1285</v>
      </c>
    </row>
    <row r="44" spans="1:31" ht="10.5">
      <c r="A44" s="671" t="s">
        <v>947</v>
      </c>
      <c r="B44" s="673">
        <v>23295.423583708201</v>
      </c>
      <c r="C44" s="673">
        <v>26488.516025020599</v>
      </c>
      <c r="E44" s="671" t="s">
        <v>947</v>
      </c>
      <c r="F44" s="672">
        <v>23295.423583708201</v>
      </c>
      <c r="G44" s="776"/>
      <c r="H44" s="676"/>
      <c r="I44" s="671" t="str">
        <f t="shared" si="6"/>
        <v>Reported opening balance</v>
      </c>
      <c r="J44" s="673">
        <v>5145.7063876112998</v>
      </c>
      <c r="K44" s="673">
        <v>5517.9508554173999</v>
      </c>
      <c r="L44" s="673">
        <v>5753.2967403568</v>
      </c>
      <c r="M44" s="672">
        <v>6878.4696003227</v>
      </c>
      <c r="N44" s="673">
        <v>6419</v>
      </c>
      <c r="O44" s="673">
        <v>6871.6558525118999</v>
      </c>
      <c r="P44" s="673">
        <v>6571.7114311847999</v>
      </c>
      <c r="Q44" s="673">
        <v>6626.8511765861003</v>
      </c>
      <c r="R44" s="673">
        <v>6620.6400749158001</v>
      </c>
      <c r="S44" s="673">
        <v>6982.3443004990995</v>
      </c>
      <c r="U44" s="671" t="str">
        <f t="shared" si="7"/>
        <v>Reported opening balance</v>
      </c>
      <c r="V44" s="673">
        <v>5145.7063876112998</v>
      </c>
      <c r="W44" s="673">
        <v>5517.9508554173999</v>
      </c>
      <c r="X44" s="673">
        <v>5753.2967403568</v>
      </c>
      <c r="Y44" s="672">
        <v>6878.4696003227</v>
      </c>
      <c r="Z44" s="674">
        <v>6419</v>
      </c>
      <c r="AA44" s="673">
        <v>6871.6558525118999</v>
      </c>
      <c r="AB44" s="673">
        <v>6571.7114311847999</v>
      </c>
      <c r="AC44" s="673">
        <v>6626.8511765861003</v>
      </c>
      <c r="AD44" s="673">
        <v>6620.6400749158001</v>
      </c>
      <c r="AE44" s="673">
        <v>6982.3443004990995</v>
      </c>
    </row>
    <row r="45" spans="1:31">
      <c r="A45" s="663" t="s">
        <v>972</v>
      </c>
      <c r="B45" s="677">
        <v>-778.3</v>
      </c>
      <c r="C45" s="677">
        <v>-0.78071568752534204</v>
      </c>
      <c r="E45" s="663" t="s">
        <v>972</v>
      </c>
      <c r="F45" s="675">
        <v>-3.3409995624389883</v>
      </c>
      <c r="G45" s="777"/>
      <c r="H45" s="676"/>
      <c r="I45" s="663" t="str">
        <f t="shared" si="6"/>
        <v>Adjustment OOH</v>
      </c>
      <c r="J45" s="677">
        <v>0</v>
      </c>
      <c r="K45" s="677">
        <v>0</v>
      </c>
      <c r="L45" s="677">
        <v>0</v>
      </c>
      <c r="M45" s="678">
        <v>-778.3</v>
      </c>
      <c r="N45" s="677">
        <v>-30.5</v>
      </c>
      <c r="O45" s="677">
        <v>-85.199999999999989</v>
      </c>
      <c r="P45" s="677">
        <v>-91.1</v>
      </c>
      <c r="Q45" s="677">
        <v>0</v>
      </c>
      <c r="R45" s="677">
        <v>0</v>
      </c>
      <c r="S45" s="677">
        <v>0</v>
      </c>
      <c r="U45" s="663" t="str">
        <f t="shared" si="7"/>
        <v>Adjustment OOH</v>
      </c>
      <c r="V45" s="677">
        <v>0</v>
      </c>
      <c r="W45" s="677">
        <v>0</v>
      </c>
      <c r="X45" s="677">
        <v>0</v>
      </c>
      <c r="Y45" s="678">
        <v>-11.315016932887024</v>
      </c>
      <c r="Z45" s="679">
        <v>-0.47520389468334018</v>
      </c>
      <c r="AA45" s="677">
        <v>-1.2398758294750101</v>
      </c>
      <c r="AB45" s="677">
        <v>-1.386244678482113</v>
      </c>
      <c r="AC45" s="677">
        <v>0</v>
      </c>
      <c r="AD45" s="677">
        <v>0</v>
      </c>
      <c r="AE45" s="677">
        <v>0</v>
      </c>
    </row>
    <row r="46" spans="1:31" ht="10.5">
      <c r="A46" s="671" t="s">
        <v>949</v>
      </c>
      <c r="B46" s="673">
        <v>22517.123583708202</v>
      </c>
      <c r="C46" s="673">
        <v>26281.7160250206</v>
      </c>
      <c r="E46" s="671" t="s">
        <v>949</v>
      </c>
      <c r="F46" s="672">
        <v>22517.123583708202</v>
      </c>
      <c r="G46" s="776"/>
      <c r="H46" s="676"/>
      <c r="I46" s="671" t="str">
        <f t="shared" si="6"/>
        <v>Adjusted opening balance</v>
      </c>
      <c r="J46" s="673">
        <v>5145.7063876112998</v>
      </c>
      <c r="K46" s="673">
        <v>5517.9508554173999</v>
      </c>
      <c r="L46" s="673">
        <v>5753.2967403568</v>
      </c>
      <c r="M46" s="672">
        <v>6100.1696003226998</v>
      </c>
      <c r="N46" s="673">
        <v>6387.7975647377998</v>
      </c>
      <c r="O46" s="673">
        <v>6786.4558525119</v>
      </c>
      <c r="P46" s="673">
        <v>6480.6114311847996</v>
      </c>
      <c r="Q46" s="673">
        <v>6626.8511765861003</v>
      </c>
      <c r="R46" s="673">
        <v>6620.6400749158001</v>
      </c>
      <c r="S46" s="673">
        <v>6982.3443004990995</v>
      </c>
      <c r="U46" s="671" t="str">
        <f t="shared" si="7"/>
        <v>Adjusted opening balance</v>
      </c>
      <c r="V46" s="673">
        <v>5145.7063876112998</v>
      </c>
      <c r="W46" s="673">
        <v>5517.9508554173999</v>
      </c>
      <c r="X46" s="673">
        <v>5753.2967403568</v>
      </c>
      <c r="Y46" s="672">
        <v>6100.1696003226998</v>
      </c>
      <c r="Z46" s="674">
        <v>6387.7975647377998</v>
      </c>
      <c r="AA46" s="673">
        <v>6786.4558525119</v>
      </c>
      <c r="AB46" s="673">
        <v>6480.6114311847996</v>
      </c>
      <c r="AC46" s="673">
        <v>6626.8511765861003</v>
      </c>
      <c r="AD46" s="673">
        <v>6620.6400749158001</v>
      </c>
      <c r="AE46" s="673">
        <v>6982.3443004990995</v>
      </c>
    </row>
    <row r="47" spans="1:31">
      <c r="A47" s="663" t="s">
        <v>950</v>
      </c>
      <c r="B47" s="733">
        <v>1519</v>
      </c>
      <c r="C47" s="676">
        <v>6</v>
      </c>
      <c r="E47" s="663" t="s">
        <v>950</v>
      </c>
      <c r="F47" s="675">
        <v>7</v>
      </c>
      <c r="G47" s="777"/>
      <c r="H47" s="676"/>
      <c r="I47" s="663" t="str">
        <f t="shared" si="6"/>
        <v>Organic</v>
      </c>
      <c r="J47" s="733">
        <v>327.9046624774</v>
      </c>
      <c r="K47" s="733">
        <v>431.84175681240004</v>
      </c>
      <c r="L47" s="733">
        <v>395</v>
      </c>
      <c r="M47" s="744">
        <v>363.69511635580005</v>
      </c>
      <c r="N47" s="733">
        <v>557</v>
      </c>
      <c r="O47" s="733">
        <v>285.42503017410002</v>
      </c>
      <c r="P47" s="733">
        <v>390.46847796340001</v>
      </c>
      <c r="Q47" s="733">
        <v>519.52260591300001</v>
      </c>
      <c r="R47" s="733">
        <v>25.815197471500007</v>
      </c>
      <c r="S47" s="733">
        <v>187.35005882769997</v>
      </c>
      <c r="U47" s="663" t="str">
        <f t="shared" si="7"/>
        <v>Organic</v>
      </c>
      <c r="V47" s="676">
        <v>6</v>
      </c>
      <c r="W47" s="676">
        <v>8</v>
      </c>
      <c r="X47" s="676">
        <v>7</v>
      </c>
      <c r="Y47" s="675">
        <v>6</v>
      </c>
      <c r="Z47" s="734">
        <v>9</v>
      </c>
      <c r="AA47" s="676">
        <v>5</v>
      </c>
      <c r="AB47" s="676">
        <v>7</v>
      </c>
      <c r="AC47" s="676">
        <v>8</v>
      </c>
      <c r="AD47" s="676">
        <v>1</v>
      </c>
      <c r="AE47" s="676">
        <v>3</v>
      </c>
    </row>
    <row r="48" spans="1:31">
      <c r="A48" s="663" t="s">
        <v>951</v>
      </c>
      <c r="B48" s="733">
        <v>656.20922053230004</v>
      </c>
      <c r="C48" s="676">
        <v>-2.2426645842633404</v>
      </c>
      <c r="E48" s="663" t="s">
        <v>951</v>
      </c>
      <c r="F48" s="675">
        <v>2.9142675266350921</v>
      </c>
      <c r="G48" s="777"/>
      <c r="H48" s="676"/>
      <c r="I48" s="663" t="str">
        <f t="shared" si="6"/>
        <v>Currency</v>
      </c>
      <c r="J48" s="733">
        <v>371.0672804852</v>
      </c>
      <c r="K48" s="733">
        <v>266.67278901100002</v>
      </c>
      <c r="L48" s="733">
        <v>73.943919739000009</v>
      </c>
      <c r="M48" s="744">
        <v>-55.474768702900001</v>
      </c>
      <c r="N48" s="733">
        <v>-209.9028299926</v>
      </c>
      <c r="O48" s="733">
        <v>-114.6909788104</v>
      </c>
      <c r="P48" s="733">
        <v>-240.98508799439998</v>
      </c>
      <c r="Q48" s="733">
        <v>-23.831840632399999</v>
      </c>
      <c r="R48" s="733">
        <v>-15.7141840276</v>
      </c>
      <c r="S48" s="733">
        <v>-672.48381855499997</v>
      </c>
      <c r="U48" s="663" t="str">
        <f t="shared" si="7"/>
        <v>Currency</v>
      </c>
      <c r="V48" s="676">
        <v>7.2112019717754245</v>
      </c>
      <c r="W48" s="676">
        <v>4.832822835839262</v>
      </c>
      <c r="X48" s="676">
        <v>1.2852443229690644</v>
      </c>
      <c r="Y48" s="675">
        <v>-0.90939715348185357</v>
      </c>
      <c r="Z48" s="734">
        <v>-3.2859969005798622</v>
      </c>
      <c r="AA48" s="676">
        <v>-1.6899981566659561</v>
      </c>
      <c r="AB48" s="676">
        <v>-3.7185548084981015</v>
      </c>
      <c r="AC48" s="676">
        <v>-0.35962540877034227</v>
      </c>
      <c r="AD48" s="676">
        <v>-0.23735143203355377</v>
      </c>
      <c r="AE48" s="676">
        <v>-9.6340682957572916</v>
      </c>
    </row>
    <row r="49" spans="1:31">
      <c r="A49" s="680" t="s">
        <v>952</v>
      </c>
      <c r="B49" s="746">
        <v>1767.0039720057998</v>
      </c>
      <c r="C49" s="735">
        <v>-0.470353993729765</v>
      </c>
      <c r="E49" s="680" t="s">
        <v>952</v>
      </c>
      <c r="F49" s="681">
        <v>7.847378753493536</v>
      </c>
      <c r="G49" s="777"/>
      <c r="H49" s="676"/>
      <c r="I49" s="680" t="str">
        <f t="shared" si="6"/>
        <v>Structure</v>
      </c>
      <c r="J49" s="746">
        <v>543.11987238359995</v>
      </c>
      <c r="K49" s="746">
        <v>655.18958324849996</v>
      </c>
      <c r="L49" s="746">
        <v>350.2332877632</v>
      </c>
      <c r="M49" s="747">
        <v>218.46122861049992</v>
      </c>
      <c r="N49" s="746">
        <v>-113.52465768650001</v>
      </c>
      <c r="O49" s="746">
        <v>25.154396623500006</v>
      </c>
      <c r="P49" s="746">
        <v>29.515245537999974</v>
      </c>
      <c r="Q49" s="746">
        <v>-64.762085419399995</v>
      </c>
      <c r="R49" s="746">
        <v>24.636884607699997</v>
      </c>
      <c r="S49" s="746">
        <v>-0.30690000000000001</v>
      </c>
      <c r="U49" s="680" t="str">
        <f t="shared" si="7"/>
        <v>Structure</v>
      </c>
      <c r="V49" s="735">
        <v>10.554816607710158</v>
      </c>
      <c r="W49" s="735">
        <v>11.873784316242135</v>
      </c>
      <c r="X49" s="735">
        <v>6.0875234421070328</v>
      </c>
      <c r="Y49" s="681">
        <v>3.5812320463834855</v>
      </c>
      <c r="Z49" s="736">
        <v>-1.7772112615650784</v>
      </c>
      <c r="AA49" s="735">
        <v>0.37065586471308881</v>
      </c>
      <c r="AB49" s="735">
        <v>0.45543921050369052</v>
      </c>
      <c r="AC49" s="735">
        <v>-0.97726784099538122</v>
      </c>
      <c r="AD49" s="735">
        <v>0.37212239796940366</v>
      </c>
      <c r="AE49" s="735">
        <v>-4.3953719093752326E-3</v>
      </c>
    </row>
    <row r="50" spans="1:31">
      <c r="A50" s="663" t="s">
        <v>832</v>
      </c>
      <c r="B50" s="733">
        <v>3942</v>
      </c>
      <c r="C50" s="676">
        <v>4</v>
      </c>
      <c r="E50" s="663" t="s">
        <v>832</v>
      </c>
      <c r="F50" s="675">
        <v>18</v>
      </c>
      <c r="G50" s="777"/>
      <c r="H50" s="676"/>
      <c r="I50" s="663" t="str">
        <f t="shared" si="6"/>
        <v>Total</v>
      </c>
      <c r="J50" s="733">
        <v>1242.0918153461998</v>
      </c>
      <c r="K50" s="733">
        <v>1353.7041290719001</v>
      </c>
      <c r="L50" s="733">
        <v>819</v>
      </c>
      <c r="M50" s="744">
        <v>526.68157626339996</v>
      </c>
      <c r="N50" s="733">
        <v>232.84251017799994</v>
      </c>
      <c r="O50" s="733">
        <v>195.88844798720004</v>
      </c>
      <c r="P50" s="733">
        <v>178.99863550700002</v>
      </c>
      <c r="Q50" s="733">
        <v>430.92867986120007</v>
      </c>
      <c r="R50" s="733">
        <v>34.737898051600006</v>
      </c>
      <c r="S50" s="733">
        <v>-485.44065972729999</v>
      </c>
      <c r="U50" s="663" t="str">
        <f t="shared" si="7"/>
        <v>Total</v>
      </c>
      <c r="V50" s="676">
        <v>24</v>
      </c>
      <c r="W50" s="676">
        <v>25</v>
      </c>
      <c r="X50" s="676">
        <v>14</v>
      </c>
      <c r="Y50" s="675">
        <v>9</v>
      </c>
      <c r="Z50" s="734">
        <v>4</v>
      </c>
      <c r="AA50" s="676">
        <v>3</v>
      </c>
      <c r="AB50" s="676">
        <v>3</v>
      </c>
      <c r="AC50" s="676">
        <v>7</v>
      </c>
      <c r="AD50" s="676">
        <v>1</v>
      </c>
      <c r="AE50" s="676">
        <v>-7</v>
      </c>
    </row>
    <row r="51" spans="1:31" ht="10.5">
      <c r="A51" s="671" t="s">
        <v>953</v>
      </c>
      <c r="B51" s="673">
        <v>26458.615732480001</v>
      </c>
      <c r="C51" s="673">
        <v>27320.374298554001</v>
      </c>
      <c r="E51" s="671" t="s">
        <v>953</v>
      </c>
      <c r="F51" s="672">
        <v>26458.615732480001</v>
      </c>
      <c r="G51" s="776"/>
      <c r="H51" s="676"/>
      <c r="I51" s="671" t="str">
        <f t="shared" si="6"/>
        <v>Operational closing balance</v>
      </c>
      <c r="J51" s="673">
        <v>6388</v>
      </c>
      <c r="K51" s="673">
        <v>6871.6549844892997</v>
      </c>
      <c r="L51" s="673">
        <v>6572</v>
      </c>
      <c r="M51" s="672">
        <v>6626.8511765860994</v>
      </c>
      <c r="N51" s="673">
        <v>6620.6400749158001</v>
      </c>
      <c r="O51" s="673">
        <v>6982.3443004991004</v>
      </c>
      <c r="P51" s="673">
        <v>6659.6100666917991</v>
      </c>
      <c r="Q51" s="673">
        <v>7057.7798564473005</v>
      </c>
      <c r="R51" s="673">
        <v>6655.3779729673997</v>
      </c>
      <c r="S51" s="673">
        <v>6496.7036407717997</v>
      </c>
      <c r="U51" s="671" t="str">
        <f t="shared" si="7"/>
        <v>Operational closing balance</v>
      </c>
      <c r="V51" s="673">
        <v>6388</v>
      </c>
      <c r="W51" s="673">
        <v>6871.6549844892997</v>
      </c>
      <c r="X51" s="673">
        <v>6572</v>
      </c>
      <c r="Y51" s="672">
        <v>6626.8511765860994</v>
      </c>
      <c r="Z51" s="674">
        <v>6620.6400749158001</v>
      </c>
      <c r="AA51" s="673">
        <v>6982.3443004991004</v>
      </c>
      <c r="AB51" s="673">
        <v>6659.6100666917991</v>
      </c>
      <c r="AC51" s="673">
        <v>7057.7798564473005</v>
      </c>
      <c r="AD51" s="673">
        <v>6655.3779729673997</v>
      </c>
      <c r="AE51" s="673">
        <v>6496.7036407717997</v>
      </c>
    </row>
    <row r="52" spans="1:31">
      <c r="A52" s="663" t="s">
        <v>972</v>
      </c>
      <c r="B52" s="733">
        <v>30.5</v>
      </c>
      <c r="C52" s="676">
        <v>0</v>
      </c>
      <c r="E52" s="663" t="s">
        <v>972</v>
      </c>
      <c r="F52" s="675">
        <v>0.13092700328201098</v>
      </c>
      <c r="G52" s="777"/>
      <c r="H52" s="676"/>
      <c r="I52" s="663" t="str">
        <f t="shared" si="6"/>
        <v>Adjustment OOH</v>
      </c>
      <c r="J52" s="733">
        <v>30.5</v>
      </c>
      <c r="K52" s="733">
        <v>0</v>
      </c>
      <c r="L52" s="733">
        <v>0</v>
      </c>
      <c r="M52" s="744">
        <v>0</v>
      </c>
      <c r="N52" s="733">
        <v>0</v>
      </c>
      <c r="O52" s="733">
        <v>0</v>
      </c>
      <c r="P52" s="733">
        <v>0</v>
      </c>
      <c r="Q52" s="733">
        <v>0</v>
      </c>
      <c r="R52" s="733">
        <v>0</v>
      </c>
      <c r="S52" s="733">
        <v>0</v>
      </c>
      <c r="U52" s="663" t="str">
        <f t="shared" si="7"/>
        <v>Adjustment OOH</v>
      </c>
      <c r="V52" s="676">
        <v>0.59272717295785071</v>
      </c>
      <c r="W52" s="676">
        <v>0</v>
      </c>
      <c r="X52" s="676">
        <v>0</v>
      </c>
      <c r="Y52" s="675">
        <v>0</v>
      </c>
      <c r="Z52" s="734">
        <v>0</v>
      </c>
      <c r="AA52" s="676">
        <v>0</v>
      </c>
      <c r="AB52" s="676">
        <v>0</v>
      </c>
      <c r="AC52" s="676">
        <v>0</v>
      </c>
      <c r="AD52" s="676">
        <v>0</v>
      </c>
      <c r="AE52" s="676">
        <v>0</v>
      </c>
    </row>
    <row r="53" spans="1:31" ht="10.5">
      <c r="A53" s="767" t="s">
        <v>954</v>
      </c>
      <c r="B53" s="732">
        <v>26490</v>
      </c>
      <c r="C53" s="732">
        <v>27320.374298554001</v>
      </c>
      <c r="E53" s="767" t="s">
        <v>954</v>
      </c>
      <c r="F53" s="731">
        <v>26489.116025020601</v>
      </c>
      <c r="G53" s="776"/>
      <c r="H53" s="676"/>
      <c r="I53" s="767" t="str">
        <f t="shared" si="6"/>
        <v>Reported closing balance</v>
      </c>
      <c r="J53" s="732">
        <v>6419.2975647377998</v>
      </c>
      <c r="K53" s="732">
        <v>6871.6558525118999</v>
      </c>
      <c r="L53" s="732">
        <v>6572</v>
      </c>
      <c r="M53" s="731">
        <v>6626.8511765861003</v>
      </c>
      <c r="N53" s="732">
        <v>6620.6400749158001</v>
      </c>
      <c r="O53" s="732">
        <v>6982.3443004990995</v>
      </c>
      <c r="P53" s="732">
        <v>6659.6100666918001</v>
      </c>
      <c r="Q53" s="732">
        <v>7057.7798564472996</v>
      </c>
      <c r="R53" s="732">
        <v>6655.3779729673997</v>
      </c>
      <c r="S53" s="732">
        <v>6496.7036407718006</v>
      </c>
      <c r="U53" s="767" t="str">
        <f t="shared" si="7"/>
        <v>Reported closing balance</v>
      </c>
      <c r="V53" s="732">
        <v>6419.2975647377998</v>
      </c>
      <c r="W53" s="732">
        <v>6871.6558525118999</v>
      </c>
      <c r="X53" s="732">
        <v>6572</v>
      </c>
      <c r="Y53" s="731">
        <v>6626.8511765861003</v>
      </c>
      <c r="Z53" s="768">
        <v>6620.6400749158001</v>
      </c>
      <c r="AA53" s="732">
        <v>6982.3443004990995</v>
      </c>
      <c r="AB53" s="732">
        <v>6659.6100666918001</v>
      </c>
      <c r="AC53" s="732">
        <v>7057.7798564472996</v>
      </c>
      <c r="AD53" s="732">
        <v>6655.3779729673997</v>
      </c>
      <c r="AE53" s="732">
        <v>6496.7036407718006</v>
      </c>
    </row>
    <row r="54" spans="1:31">
      <c r="F54" s="772"/>
      <c r="H54" s="676"/>
      <c r="M54" s="772"/>
    </row>
    <row r="55" spans="1:31" ht="10.5">
      <c r="A55" s="665" t="s">
        <v>13</v>
      </c>
      <c r="B55" s="665"/>
      <c r="C55" s="665"/>
      <c r="E55" s="665" t="s">
        <v>13</v>
      </c>
      <c r="F55" s="666"/>
      <c r="G55" s="775"/>
      <c r="H55" s="676"/>
      <c r="I55" s="665" t="str">
        <f t="shared" ref="I55:I66" si="8">A55</f>
        <v>Orders received</v>
      </c>
      <c r="J55" s="665"/>
      <c r="K55" s="665"/>
      <c r="L55" s="665"/>
      <c r="M55" s="666"/>
      <c r="N55" s="665"/>
      <c r="O55" s="665"/>
      <c r="P55" s="665"/>
      <c r="Q55" s="665"/>
      <c r="R55" s="665"/>
      <c r="S55" s="665"/>
      <c r="U55" s="665" t="str">
        <f t="shared" ref="U55:U66" si="9">E55</f>
        <v>Orders received</v>
      </c>
      <c r="V55" s="665"/>
      <c r="W55" s="665"/>
      <c r="X55" s="665"/>
      <c r="Y55" s="666"/>
      <c r="Z55" s="667"/>
      <c r="AA55" s="665"/>
      <c r="AB55" s="665"/>
      <c r="AC55" s="665"/>
      <c r="AD55" s="665"/>
      <c r="AE55" s="665"/>
    </row>
    <row r="56" spans="1:31" ht="10.5">
      <c r="A56" s="764" t="s">
        <v>71</v>
      </c>
      <c r="B56" s="764">
        <v>2023</v>
      </c>
      <c r="C56" s="764">
        <v>2024</v>
      </c>
      <c r="E56" s="764" t="s">
        <v>71</v>
      </c>
      <c r="F56" s="765">
        <v>2023</v>
      </c>
      <c r="G56" s="775"/>
      <c r="H56" s="676"/>
      <c r="I56" s="764" t="str">
        <f t="shared" si="8"/>
        <v>Tools &amp; Attachments</v>
      </c>
      <c r="J56" s="764" t="s">
        <v>803</v>
      </c>
      <c r="K56" s="764" t="s">
        <v>812</v>
      </c>
      <c r="L56" s="764" t="s">
        <v>816</v>
      </c>
      <c r="M56" s="765" t="s">
        <v>835</v>
      </c>
      <c r="N56" s="764" t="s">
        <v>872</v>
      </c>
      <c r="O56" s="764" t="s">
        <v>986</v>
      </c>
      <c r="P56" s="764" t="s">
        <v>1016</v>
      </c>
      <c r="Q56" s="764" t="s">
        <v>1039</v>
      </c>
      <c r="R56" s="764" t="s">
        <v>1076</v>
      </c>
      <c r="S56" s="764" t="s">
        <v>1285</v>
      </c>
      <c r="U56" s="764" t="str">
        <f t="shared" si="9"/>
        <v>Tools &amp; Attachments</v>
      </c>
      <c r="V56" s="764" t="s">
        <v>803</v>
      </c>
      <c r="W56" s="764" t="s">
        <v>812</v>
      </c>
      <c r="X56" s="764" t="s">
        <v>816</v>
      </c>
      <c r="Y56" s="765" t="s">
        <v>835</v>
      </c>
      <c r="Z56" s="766" t="s">
        <v>872</v>
      </c>
      <c r="AA56" s="764" t="s">
        <v>986</v>
      </c>
      <c r="AB56" s="764" t="s">
        <v>1016</v>
      </c>
      <c r="AC56" s="764" t="s">
        <v>1039</v>
      </c>
      <c r="AD56" s="764" t="s">
        <v>1076</v>
      </c>
      <c r="AE56" s="764" t="s">
        <v>1285</v>
      </c>
    </row>
    <row r="57" spans="1:31" ht="10.5">
      <c r="A57" s="671" t="s">
        <v>947</v>
      </c>
      <c r="B57" s="673">
        <v>10669.778208436001</v>
      </c>
      <c r="C57" s="673">
        <v>12466.4219784784</v>
      </c>
      <c r="E57" s="671" t="s">
        <v>947</v>
      </c>
      <c r="F57" s="672">
        <v>10669.778208436001</v>
      </c>
      <c r="G57" s="776"/>
      <c r="H57" s="676"/>
      <c r="I57" s="671" t="str">
        <f t="shared" si="8"/>
        <v>Reported opening balance</v>
      </c>
      <c r="J57" s="673">
        <v>2969.734969355</v>
      </c>
      <c r="K57" s="673">
        <v>2495.4654074903001</v>
      </c>
      <c r="L57" s="673">
        <v>2501.9835914729001</v>
      </c>
      <c r="M57" s="672">
        <v>2702.5942401177999</v>
      </c>
      <c r="N57" s="673">
        <v>3534.8958989035</v>
      </c>
      <c r="O57" s="673">
        <v>3179.7004841978001</v>
      </c>
      <c r="P57" s="673">
        <v>2925.2664529244998</v>
      </c>
      <c r="Q57" s="673">
        <v>2826.5591424526001</v>
      </c>
      <c r="R57" s="673">
        <v>3121.6294955535</v>
      </c>
      <c r="S57" s="673">
        <v>3946.5945244221002</v>
      </c>
      <c r="U57" s="671" t="str">
        <f t="shared" si="9"/>
        <v>Reported opening balance</v>
      </c>
      <c r="V57" s="673">
        <v>2969.734969355</v>
      </c>
      <c r="W57" s="673">
        <v>2495.4654074903001</v>
      </c>
      <c r="X57" s="673">
        <v>2501.9835914729001</v>
      </c>
      <c r="Y57" s="672">
        <v>2702.5942401177999</v>
      </c>
      <c r="Z57" s="674">
        <v>3534.8958989035</v>
      </c>
      <c r="AA57" s="673">
        <v>3179.7004841978001</v>
      </c>
      <c r="AB57" s="673">
        <v>2925.2664529244998</v>
      </c>
      <c r="AC57" s="673">
        <v>2826.5591424526001</v>
      </c>
      <c r="AD57" s="673">
        <v>3121.6294955535</v>
      </c>
      <c r="AE57" s="673">
        <v>3946.5945244221002</v>
      </c>
    </row>
    <row r="58" spans="1:31">
      <c r="A58" s="663" t="s">
        <v>972</v>
      </c>
      <c r="B58" s="677">
        <v>-26.4</v>
      </c>
      <c r="C58" s="677">
        <v>-3.2246622221997532</v>
      </c>
      <c r="E58" s="663" t="s">
        <v>972</v>
      </c>
      <c r="F58" s="675">
        <v>-0.2474278235617586</v>
      </c>
      <c r="G58" s="777"/>
      <c r="H58" s="676"/>
      <c r="I58" s="663" t="str">
        <f t="shared" si="8"/>
        <v>Adjustment OOH</v>
      </c>
      <c r="J58" s="677">
        <v>0</v>
      </c>
      <c r="K58" s="677">
        <v>0</v>
      </c>
      <c r="L58" s="677">
        <v>0</v>
      </c>
      <c r="M58" s="678">
        <v>-26.4</v>
      </c>
      <c r="N58" s="677">
        <v>-402</v>
      </c>
      <c r="O58" s="677">
        <v>0</v>
      </c>
      <c r="P58" s="677">
        <v>0</v>
      </c>
      <c r="Q58" s="677">
        <v>0</v>
      </c>
      <c r="R58" s="677">
        <v>0</v>
      </c>
      <c r="S58" s="677">
        <v>0</v>
      </c>
      <c r="U58" s="663" t="str">
        <f t="shared" si="9"/>
        <v>Adjustment OOH</v>
      </c>
      <c r="V58" s="677">
        <v>0</v>
      </c>
      <c r="W58" s="677">
        <v>0</v>
      </c>
      <c r="X58" s="677">
        <v>0</v>
      </c>
      <c r="Y58" s="678">
        <v>-0.97683920168679417</v>
      </c>
      <c r="Z58" s="679">
        <v>-11.372329242416944</v>
      </c>
      <c r="AA58" s="677">
        <v>0</v>
      </c>
      <c r="AB58" s="677">
        <v>0</v>
      </c>
      <c r="AC58" s="677">
        <v>0</v>
      </c>
      <c r="AD58" s="677">
        <v>0</v>
      </c>
      <c r="AE58" s="677">
        <v>0</v>
      </c>
    </row>
    <row r="59" spans="1:31" ht="10.5">
      <c r="A59" s="671" t="s">
        <v>949</v>
      </c>
      <c r="B59" s="673">
        <v>10644</v>
      </c>
      <c r="C59" s="673">
        <v>12064.4219784784</v>
      </c>
      <c r="E59" s="671" t="s">
        <v>949</v>
      </c>
      <c r="F59" s="672">
        <v>10644</v>
      </c>
      <c r="G59" s="776"/>
      <c r="H59" s="676"/>
      <c r="I59" s="671" t="str">
        <f t="shared" si="8"/>
        <v>Adjusted opening balance</v>
      </c>
      <c r="J59" s="673">
        <v>2969.734969355</v>
      </c>
      <c r="K59" s="673">
        <v>2495.4654074903001</v>
      </c>
      <c r="L59" s="673">
        <v>2501.9835914729001</v>
      </c>
      <c r="M59" s="672">
        <v>2676.1942401177998</v>
      </c>
      <c r="N59" s="673">
        <v>3132.8958989035</v>
      </c>
      <c r="O59" s="673">
        <v>3179.7004841978001</v>
      </c>
      <c r="P59" s="673">
        <v>2925.2664529244998</v>
      </c>
      <c r="Q59" s="673">
        <v>2826.5591424526001</v>
      </c>
      <c r="R59" s="673">
        <v>3121.6294955535</v>
      </c>
      <c r="S59" s="673">
        <v>3946.5945244221002</v>
      </c>
      <c r="U59" s="671" t="str">
        <f t="shared" si="9"/>
        <v>Adjusted opening balance</v>
      </c>
      <c r="V59" s="673">
        <v>2969.734969355</v>
      </c>
      <c r="W59" s="673">
        <v>2495.4654074903001</v>
      </c>
      <c r="X59" s="673">
        <v>2501.9835914729001</v>
      </c>
      <c r="Y59" s="672">
        <v>2676.1942401177998</v>
      </c>
      <c r="Z59" s="674">
        <v>3132.8958989035</v>
      </c>
      <c r="AA59" s="673">
        <v>3179.7004841978001</v>
      </c>
      <c r="AB59" s="673">
        <v>2925.2664529244998</v>
      </c>
      <c r="AC59" s="673">
        <v>2826.5591424526001</v>
      </c>
      <c r="AD59" s="673">
        <v>3121.6294955535</v>
      </c>
      <c r="AE59" s="673">
        <v>3946.5945244221002</v>
      </c>
    </row>
    <row r="60" spans="1:31">
      <c r="A60" s="663" t="s">
        <v>950</v>
      </c>
      <c r="B60" s="676">
        <v>-465</v>
      </c>
      <c r="C60" s="676">
        <v>-1</v>
      </c>
      <c r="E60" s="663" t="s">
        <v>950</v>
      </c>
      <c r="F60" s="675">
        <v>-5</v>
      </c>
      <c r="G60" s="777"/>
      <c r="H60" s="676"/>
      <c r="I60" s="663" t="str">
        <f t="shared" si="8"/>
        <v>Organic</v>
      </c>
      <c r="J60" s="676">
        <v>-298.73529315010001</v>
      </c>
      <c r="K60" s="676">
        <v>-24.189693546200001</v>
      </c>
      <c r="L60" s="676">
        <v>27.626811909200001</v>
      </c>
      <c r="M60" s="675">
        <v>-169.06628040960001</v>
      </c>
      <c r="N60" s="676">
        <v>-44</v>
      </c>
      <c r="O60" s="676">
        <v>-210.8173234267</v>
      </c>
      <c r="P60" s="676">
        <v>19.9856528758</v>
      </c>
      <c r="Q60" s="676">
        <v>81.941672140400001</v>
      </c>
      <c r="R60" s="676">
        <v>51.424753590599998</v>
      </c>
      <c r="S60" s="676">
        <v>66.444471934700005</v>
      </c>
      <c r="U60" s="663" t="str">
        <f t="shared" si="9"/>
        <v>Organic</v>
      </c>
      <c r="V60" s="676">
        <v>-11</v>
      </c>
      <c r="W60" s="676">
        <v>-1</v>
      </c>
      <c r="X60" s="676">
        <v>2</v>
      </c>
      <c r="Y60" s="675">
        <v>-6</v>
      </c>
      <c r="Z60" s="734">
        <v>-1</v>
      </c>
      <c r="AA60" s="676">
        <v>-6</v>
      </c>
      <c r="AB60" s="676">
        <v>0</v>
      </c>
      <c r="AC60" s="676">
        <v>3</v>
      </c>
      <c r="AD60" s="676">
        <v>2</v>
      </c>
      <c r="AE60" s="676">
        <v>2</v>
      </c>
    </row>
    <row r="61" spans="1:31">
      <c r="A61" s="663" t="s">
        <v>951</v>
      </c>
      <c r="B61" s="676">
        <v>200.86015664820002</v>
      </c>
      <c r="C61" s="676">
        <v>-1.2788937161758633</v>
      </c>
      <c r="E61" s="663" t="s">
        <v>951</v>
      </c>
      <c r="F61" s="675">
        <v>1.8871842446507932</v>
      </c>
      <c r="G61" s="777"/>
      <c r="H61" s="676"/>
      <c r="I61" s="663" t="str">
        <f t="shared" si="8"/>
        <v>Currency</v>
      </c>
      <c r="J61" s="676">
        <v>147.35628092650001</v>
      </c>
      <c r="K61" s="676">
        <v>73.725467431200002</v>
      </c>
      <c r="L61" s="676">
        <v>12.2540291576</v>
      </c>
      <c r="M61" s="675">
        <v>-32.475620867099998</v>
      </c>
      <c r="N61" s="676">
        <v>-71.8112128466</v>
      </c>
      <c r="O61" s="676">
        <v>-19.604066237400001</v>
      </c>
      <c r="P61" s="676">
        <v>-100.0442975304</v>
      </c>
      <c r="Q61" s="676">
        <v>37.1684420387</v>
      </c>
      <c r="R61" s="676">
        <v>-4.9308608699999999E-2</v>
      </c>
      <c r="S61" s="676">
        <v>-351.43726981600003</v>
      </c>
      <c r="U61" s="663" t="str">
        <f t="shared" si="9"/>
        <v>Currency</v>
      </c>
      <c r="V61" s="676">
        <v>4.9619337229444582</v>
      </c>
      <c r="W61" s="676">
        <v>2.9543774564018506</v>
      </c>
      <c r="X61" s="676">
        <v>0.48977256283228221</v>
      </c>
      <c r="Y61" s="675">
        <v>-1.2135001406202299</v>
      </c>
      <c r="Z61" s="734">
        <v>-2.2921672204854819</v>
      </c>
      <c r="AA61" s="676">
        <v>-0.61653814045777555</v>
      </c>
      <c r="AB61" s="676">
        <v>-3.4200063187536962</v>
      </c>
      <c r="AC61" s="676">
        <v>1.3149713190309902</v>
      </c>
      <c r="AD61" s="676">
        <v>-1.5795791515372335E-3</v>
      </c>
      <c r="AE61" s="676">
        <v>-8.8946880061716591</v>
      </c>
    </row>
    <row r="62" spans="1:31">
      <c r="A62" s="680" t="s">
        <v>952</v>
      </c>
      <c r="B62" s="735">
        <v>1684.0480685910002</v>
      </c>
      <c r="C62" s="735">
        <v>24.088150478763552</v>
      </c>
      <c r="E62" s="680" t="s">
        <v>952</v>
      </c>
      <c r="F62" s="681">
        <v>15.822495786687488</v>
      </c>
      <c r="G62" s="777"/>
      <c r="H62" s="676"/>
      <c r="I62" s="680" t="str">
        <f t="shared" si="8"/>
        <v>Structure</v>
      </c>
      <c r="J62" s="735">
        <v>314.5399417722</v>
      </c>
      <c r="K62" s="735">
        <v>635.19930282220002</v>
      </c>
      <c r="L62" s="735">
        <v>382.40202038500001</v>
      </c>
      <c r="M62" s="681">
        <v>351.90680361159997</v>
      </c>
      <c r="N62" s="735">
        <v>105.09116846220002</v>
      </c>
      <c r="O62" s="735">
        <v>997.31542988829995</v>
      </c>
      <c r="P62" s="735">
        <v>811.60626547590005</v>
      </c>
      <c r="Q62" s="735">
        <v>992.0832567425</v>
      </c>
      <c r="R62" s="735">
        <v>1014.0394455435001</v>
      </c>
      <c r="S62" s="735">
        <v>81.4868055309</v>
      </c>
      <c r="U62" s="680" t="str">
        <f t="shared" si="9"/>
        <v>Structure</v>
      </c>
      <c r="V62" s="735">
        <v>10.591515573543429</v>
      </c>
      <c r="W62" s="735">
        <v>25.454141777145395</v>
      </c>
      <c r="X62" s="735">
        <v>15.283953967095471</v>
      </c>
      <c r="Y62" s="681">
        <v>13.149523989563248</v>
      </c>
      <c r="Z62" s="736">
        <v>3.3544417642150659</v>
      </c>
      <c r="AA62" s="735">
        <v>31.365074630288976</v>
      </c>
      <c r="AB62" s="735">
        <v>27.744695347820585</v>
      </c>
      <c r="AC62" s="735">
        <v>35.098620150635561</v>
      </c>
      <c r="AD62" s="735">
        <v>32.484298568677495</v>
      </c>
      <c r="AE62" s="735">
        <v>2.0596695461843226</v>
      </c>
    </row>
    <row r="63" spans="1:31">
      <c r="A63" s="663" t="s">
        <v>832</v>
      </c>
      <c r="B63" s="676">
        <v>1420</v>
      </c>
      <c r="C63" s="676">
        <v>22</v>
      </c>
      <c r="E63" s="663" t="s">
        <v>832</v>
      </c>
      <c r="F63" s="675">
        <v>13</v>
      </c>
      <c r="G63" s="777"/>
      <c r="H63" s="676"/>
      <c r="I63" s="663" t="str">
        <f t="shared" si="8"/>
        <v>Total</v>
      </c>
      <c r="J63" s="676">
        <v>163.1609295486</v>
      </c>
      <c r="K63" s="676">
        <v>684.73507670720005</v>
      </c>
      <c r="L63" s="676">
        <v>422.28286145180004</v>
      </c>
      <c r="M63" s="675">
        <v>150.76490233489997</v>
      </c>
      <c r="N63" s="676">
        <v>-11.266403349799987</v>
      </c>
      <c r="O63" s="676">
        <v>766.8940402241999</v>
      </c>
      <c r="P63" s="676">
        <v>731.54762082130003</v>
      </c>
      <c r="Q63" s="676">
        <v>1111.1933709216</v>
      </c>
      <c r="R63" s="676">
        <v>1065.4148905254001</v>
      </c>
      <c r="S63" s="676">
        <v>-203.50599235039999</v>
      </c>
      <c r="U63" s="663" t="str">
        <f t="shared" si="9"/>
        <v>Total</v>
      </c>
      <c r="V63" s="676">
        <v>5</v>
      </c>
      <c r="W63" s="676">
        <v>27</v>
      </c>
      <c r="X63" s="676">
        <v>17</v>
      </c>
      <c r="Y63" s="675">
        <v>6</v>
      </c>
      <c r="Z63" s="734">
        <v>0</v>
      </c>
      <c r="AA63" s="676">
        <v>24</v>
      </c>
      <c r="AB63" s="676">
        <v>25</v>
      </c>
      <c r="AC63" s="676">
        <v>39</v>
      </c>
      <c r="AD63" s="676">
        <v>34</v>
      </c>
      <c r="AE63" s="676">
        <v>-5</v>
      </c>
    </row>
    <row r="64" spans="1:31" ht="10.5">
      <c r="A64" s="671" t="s">
        <v>953</v>
      </c>
      <c r="B64" s="673">
        <v>12064.3219784785</v>
      </c>
      <c r="C64" s="673">
        <v>14662.7906070957</v>
      </c>
      <c r="E64" s="671" t="s">
        <v>953</v>
      </c>
      <c r="F64" s="672">
        <v>12064.3219784785</v>
      </c>
      <c r="G64" s="776"/>
      <c r="H64" s="676"/>
      <c r="I64" s="671" t="str">
        <f t="shared" si="8"/>
        <v>Operational closing balance</v>
      </c>
      <c r="J64" s="673">
        <v>3132.8958989036</v>
      </c>
      <c r="K64" s="673">
        <v>3180.2004841975004</v>
      </c>
      <c r="L64" s="673">
        <v>2924.2664529247004</v>
      </c>
      <c r="M64" s="672">
        <v>2826.9591424526998</v>
      </c>
      <c r="N64" s="673">
        <v>3121.6294955537001</v>
      </c>
      <c r="O64" s="673">
        <v>3946.5945244220002</v>
      </c>
      <c r="P64" s="673">
        <v>3656.8140737457998</v>
      </c>
      <c r="Q64" s="673">
        <v>3937.7525133742001</v>
      </c>
      <c r="R64" s="673">
        <v>4187.0443860789001</v>
      </c>
      <c r="S64" s="673">
        <v>3743.1885320717001</v>
      </c>
      <c r="U64" s="671" t="str">
        <f t="shared" si="9"/>
        <v>Operational closing balance</v>
      </c>
      <c r="V64" s="673">
        <v>3132.8958989036</v>
      </c>
      <c r="W64" s="673">
        <v>3180.2004841975004</v>
      </c>
      <c r="X64" s="673">
        <v>2924.2664529247004</v>
      </c>
      <c r="Y64" s="672">
        <v>2826.9591424526998</v>
      </c>
      <c r="Z64" s="674">
        <v>3121.6294955537001</v>
      </c>
      <c r="AA64" s="673">
        <v>3946.5945244220002</v>
      </c>
      <c r="AB64" s="673">
        <v>3656.8140737457998</v>
      </c>
      <c r="AC64" s="673">
        <v>3937.7525133742001</v>
      </c>
      <c r="AD64" s="673">
        <v>4187.0443860789001</v>
      </c>
      <c r="AE64" s="673">
        <v>3743.1885320717001</v>
      </c>
    </row>
    <row r="65" spans="1:31">
      <c r="A65" s="663" t="s">
        <v>972</v>
      </c>
      <c r="B65" s="676">
        <v>402</v>
      </c>
      <c r="C65" s="676">
        <v>0</v>
      </c>
      <c r="E65" s="663" t="s">
        <v>972</v>
      </c>
      <c r="F65" s="675">
        <v>3.7676509496904163</v>
      </c>
      <c r="G65" s="777"/>
      <c r="H65" s="676"/>
      <c r="I65" s="663" t="str">
        <f t="shared" si="8"/>
        <v>Adjustment OOH</v>
      </c>
      <c r="J65" s="676">
        <v>402</v>
      </c>
      <c r="K65" s="676">
        <v>0</v>
      </c>
      <c r="L65" s="676">
        <v>0</v>
      </c>
      <c r="M65" s="675">
        <v>0</v>
      </c>
      <c r="N65" s="676">
        <v>0</v>
      </c>
      <c r="O65" s="676">
        <v>0</v>
      </c>
      <c r="P65" s="676">
        <v>0</v>
      </c>
      <c r="Q65" s="676">
        <v>0</v>
      </c>
      <c r="R65" s="676">
        <v>0</v>
      </c>
      <c r="S65" s="676">
        <v>0</v>
      </c>
      <c r="U65" s="663" t="str">
        <f t="shared" si="9"/>
        <v>Adjustment OOH</v>
      </c>
      <c r="V65" s="676">
        <v>13.536561482700622</v>
      </c>
      <c r="W65" s="676">
        <v>0</v>
      </c>
      <c r="X65" s="676">
        <v>0</v>
      </c>
      <c r="Y65" s="675">
        <v>0</v>
      </c>
      <c r="Z65" s="734">
        <v>0</v>
      </c>
      <c r="AA65" s="676">
        <v>0</v>
      </c>
      <c r="AB65" s="676">
        <v>0</v>
      </c>
      <c r="AC65" s="676">
        <v>0</v>
      </c>
      <c r="AD65" s="676">
        <v>0</v>
      </c>
      <c r="AE65" s="676">
        <v>0</v>
      </c>
    </row>
    <row r="66" spans="1:31" ht="10.5">
      <c r="A66" s="767" t="s">
        <v>954</v>
      </c>
      <c r="B66" s="732">
        <v>12466</v>
      </c>
      <c r="C66" s="732">
        <v>14662.7906070957</v>
      </c>
      <c r="E66" s="767" t="s">
        <v>954</v>
      </c>
      <c r="F66" s="731">
        <v>12466</v>
      </c>
      <c r="G66" s="776"/>
      <c r="H66" s="676"/>
      <c r="I66" s="767" t="str">
        <f t="shared" si="8"/>
        <v>Reported closing balance</v>
      </c>
      <c r="J66" s="732">
        <v>3534.8958989036</v>
      </c>
      <c r="K66" s="732">
        <v>3179.7004841974999</v>
      </c>
      <c r="L66" s="732">
        <v>2924.2664529246999</v>
      </c>
      <c r="M66" s="731">
        <v>2826.5591424527001</v>
      </c>
      <c r="N66" s="732">
        <v>3121.6294955537001</v>
      </c>
      <c r="O66" s="732">
        <v>3946.5945244220002</v>
      </c>
      <c r="P66" s="732">
        <v>3656.8140737458002</v>
      </c>
      <c r="Q66" s="732">
        <v>3937.7525133742001</v>
      </c>
      <c r="R66" s="732">
        <v>4187.0443860789001</v>
      </c>
      <c r="S66" s="732">
        <v>3743.1885320717001</v>
      </c>
      <c r="U66" s="767" t="str">
        <f t="shared" si="9"/>
        <v>Reported closing balance</v>
      </c>
      <c r="V66" s="732">
        <v>3534.8958989036</v>
      </c>
      <c r="W66" s="732">
        <v>3179.7004841974999</v>
      </c>
      <c r="X66" s="732">
        <v>2924.2664529246999</v>
      </c>
      <c r="Y66" s="731">
        <v>2826.5591424527001</v>
      </c>
      <c r="Z66" s="768">
        <v>3121.6294955537001</v>
      </c>
      <c r="AA66" s="732">
        <v>3946.5945244220002</v>
      </c>
      <c r="AB66" s="732">
        <v>3656.8140737458002</v>
      </c>
      <c r="AC66" s="732">
        <v>3937.7525133742001</v>
      </c>
      <c r="AD66" s="732">
        <v>4187.0443860789001</v>
      </c>
      <c r="AE66" s="732">
        <v>3743.1885320717001</v>
      </c>
    </row>
    <row r="67" spans="1:31">
      <c r="F67" s="772"/>
      <c r="H67" s="676"/>
      <c r="M67" s="772"/>
    </row>
    <row r="68" spans="1:31" ht="10.5">
      <c r="A68" s="689" t="s">
        <v>34</v>
      </c>
      <c r="B68" s="689"/>
      <c r="C68" s="689"/>
      <c r="E68" s="689" t="s">
        <v>34</v>
      </c>
      <c r="F68" s="690"/>
      <c r="G68" s="775"/>
      <c r="H68" s="676"/>
      <c r="I68" s="689" t="str">
        <f t="shared" ref="I68:I77" si="10">A68</f>
        <v xml:space="preserve">Revenues </v>
      </c>
      <c r="J68" s="689"/>
      <c r="K68" s="689"/>
      <c r="L68" s="689"/>
      <c r="M68" s="690"/>
      <c r="N68" s="689"/>
      <c r="O68" s="689"/>
      <c r="P68" s="689"/>
      <c r="Q68" s="689"/>
      <c r="R68" s="689"/>
      <c r="S68" s="689"/>
      <c r="U68" s="689" t="str">
        <f>E68</f>
        <v xml:space="preserve">Revenues </v>
      </c>
      <c r="V68" s="689"/>
      <c r="W68" s="689"/>
      <c r="X68" s="689"/>
      <c r="Y68" s="690"/>
      <c r="Z68" s="691"/>
      <c r="AA68" s="689"/>
      <c r="AB68" s="689"/>
      <c r="AC68" s="689"/>
      <c r="AD68" s="689"/>
      <c r="AE68" s="689"/>
    </row>
    <row r="69" spans="1:31" ht="10.5">
      <c r="A69" s="764" t="s">
        <v>35</v>
      </c>
      <c r="B69" s="764">
        <v>2023</v>
      </c>
      <c r="C69" s="764">
        <v>2024</v>
      </c>
      <c r="E69" s="764" t="s">
        <v>35</v>
      </c>
      <c r="F69" s="765">
        <v>2023</v>
      </c>
      <c r="G69" s="775"/>
      <c r="H69" s="676"/>
      <c r="I69" s="764" t="str">
        <f t="shared" si="10"/>
        <v>Epiroc Group</v>
      </c>
      <c r="J69" s="764" t="s">
        <v>803</v>
      </c>
      <c r="K69" s="764" t="s">
        <v>812</v>
      </c>
      <c r="L69" s="764" t="s">
        <v>816</v>
      </c>
      <c r="M69" s="765" t="s">
        <v>835</v>
      </c>
      <c r="N69" s="764" t="s">
        <v>872</v>
      </c>
      <c r="O69" s="764" t="s">
        <v>986</v>
      </c>
      <c r="P69" s="764" t="s">
        <v>1016</v>
      </c>
      <c r="Q69" s="764" t="s">
        <v>1039</v>
      </c>
      <c r="R69" s="764" t="s">
        <v>1076</v>
      </c>
      <c r="S69" s="764" t="s">
        <v>1285</v>
      </c>
      <c r="U69" s="764" t="str">
        <f>E69</f>
        <v>Epiroc Group</v>
      </c>
      <c r="V69" s="764" t="s">
        <v>803</v>
      </c>
      <c r="W69" s="764" t="s">
        <v>812</v>
      </c>
      <c r="X69" s="764" t="s">
        <v>816</v>
      </c>
      <c r="Y69" s="765" t="s">
        <v>835</v>
      </c>
      <c r="Z69" s="766" t="s">
        <v>872</v>
      </c>
      <c r="AA69" s="764" t="s">
        <v>986</v>
      </c>
      <c r="AB69" s="764" t="s">
        <v>1016</v>
      </c>
      <c r="AC69" s="764" t="s">
        <v>1039</v>
      </c>
      <c r="AD69" s="764" t="s">
        <v>1076</v>
      </c>
      <c r="AE69" s="764" t="s">
        <v>1285</v>
      </c>
    </row>
    <row r="70" spans="1:31" ht="10.5">
      <c r="A70" s="671" t="s">
        <v>947</v>
      </c>
      <c r="B70" s="673">
        <v>49694.312044024307</v>
      </c>
      <c r="C70" s="673">
        <v>60343.2371848154</v>
      </c>
      <c r="E70" s="671" t="s">
        <v>947</v>
      </c>
      <c r="F70" s="672">
        <v>49694.312044024307</v>
      </c>
      <c r="G70" s="776"/>
      <c r="H70" s="676"/>
      <c r="I70" s="671" t="str">
        <f t="shared" si="10"/>
        <v>Reported opening balance</v>
      </c>
      <c r="J70" s="673">
        <v>11088.396492030701</v>
      </c>
      <c r="K70" s="673">
        <v>11867.7694568323</v>
      </c>
      <c r="L70" s="673">
        <v>12801.843484840099</v>
      </c>
      <c r="M70" s="672">
        <v>13936.3026103212</v>
      </c>
      <c r="N70" s="673">
        <v>13867.5831329346</v>
      </c>
      <c r="O70" s="673">
        <v>15909.9330569741</v>
      </c>
      <c r="P70" s="673">
        <v>14997.0684506008</v>
      </c>
      <c r="Q70" s="673">
        <v>15567.6525443059</v>
      </c>
      <c r="R70" s="673">
        <v>14142.8285693899</v>
      </c>
      <c r="S70" s="673">
        <v>16510.755905984301</v>
      </c>
      <c r="U70" s="671" t="str">
        <f>E70</f>
        <v>Reported opening balance</v>
      </c>
      <c r="V70" s="673">
        <v>11088.396492030701</v>
      </c>
      <c r="W70" s="673">
        <v>11867.7694568323</v>
      </c>
      <c r="X70" s="673">
        <v>12801.843484840099</v>
      </c>
      <c r="Y70" s="672">
        <v>13936.3026103212</v>
      </c>
      <c r="Z70" s="674">
        <v>13867.5831329346</v>
      </c>
      <c r="AA70" s="673">
        <v>15909.9330569741</v>
      </c>
      <c r="AB70" s="673">
        <v>14997.0684506008</v>
      </c>
      <c r="AC70" s="673">
        <v>15567.6525443059</v>
      </c>
      <c r="AD70" s="673">
        <v>14142.8285693899</v>
      </c>
      <c r="AE70" s="673">
        <v>16510.755905984301</v>
      </c>
    </row>
    <row r="71" spans="1:31">
      <c r="A71" s="663" t="s">
        <v>979</v>
      </c>
      <c r="B71" s="677">
        <v>0</v>
      </c>
      <c r="C71" s="677">
        <v>0</v>
      </c>
      <c r="E71" s="663" t="s">
        <v>979</v>
      </c>
      <c r="F71" s="675">
        <v>0</v>
      </c>
      <c r="G71" s="777"/>
      <c r="H71" s="676"/>
      <c r="I71" s="663" t="str">
        <f t="shared" si="10"/>
        <v>Adjustment</v>
      </c>
      <c r="J71" s="677">
        <v>0</v>
      </c>
      <c r="K71" s="677">
        <v>0</v>
      </c>
      <c r="L71" s="677">
        <v>0</v>
      </c>
      <c r="M71" s="678">
        <v>0</v>
      </c>
      <c r="N71" s="677">
        <v>0</v>
      </c>
      <c r="O71" s="677">
        <v>0</v>
      </c>
      <c r="P71" s="677">
        <v>0</v>
      </c>
      <c r="Q71" s="677">
        <v>0</v>
      </c>
      <c r="R71" s="677">
        <v>0</v>
      </c>
      <c r="S71" s="677">
        <v>0</v>
      </c>
      <c r="U71" s="663" t="s">
        <v>979</v>
      </c>
      <c r="V71" s="677">
        <v>0</v>
      </c>
      <c r="W71" s="677">
        <v>0</v>
      </c>
      <c r="X71" s="677">
        <v>0</v>
      </c>
      <c r="Y71" s="678">
        <v>0</v>
      </c>
      <c r="Z71" s="679">
        <v>0</v>
      </c>
      <c r="AA71" s="677">
        <v>0</v>
      </c>
      <c r="AB71" s="677">
        <v>0</v>
      </c>
      <c r="AC71" s="677">
        <v>0</v>
      </c>
      <c r="AD71" s="677">
        <v>0</v>
      </c>
      <c r="AE71" s="677">
        <v>0</v>
      </c>
    </row>
    <row r="72" spans="1:31" ht="10.5">
      <c r="A72" s="671" t="s">
        <v>949</v>
      </c>
      <c r="B72" s="673">
        <v>49694.312044024307</v>
      </c>
      <c r="C72" s="673">
        <v>60343.2371848154</v>
      </c>
      <c r="E72" s="671" t="s">
        <v>949</v>
      </c>
      <c r="F72" s="672">
        <v>49694.312044024307</v>
      </c>
      <c r="G72" s="776"/>
      <c r="H72" s="676"/>
      <c r="I72" s="671" t="str">
        <f t="shared" si="10"/>
        <v>Adjusted opening balance</v>
      </c>
      <c r="J72" s="673">
        <v>11088.396492030701</v>
      </c>
      <c r="K72" s="673">
        <v>11867.7694568323</v>
      </c>
      <c r="L72" s="673">
        <v>12801.843484840099</v>
      </c>
      <c r="M72" s="672">
        <v>13936.3026103212</v>
      </c>
      <c r="N72" s="673">
        <v>13867.5831329346</v>
      </c>
      <c r="O72" s="673">
        <v>15909.9330569741</v>
      </c>
      <c r="P72" s="673">
        <v>14997.0684506008</v>
      </c>
      <c r="Q72" s="673">
        <v>15567.6525443059</v>
      </c>
      <c r="R72" s="673">
        <v>14142.8285693899</v>
      </c>
      <c r="S72" s="673">
        <v>16510.755905984301</v>
      </c>
      <c r="U72" s="671" t="str">
        <f t="shared" ref="U72:U77" si="11">E72</f>
        <v>Adjusted opening balance</v>
      </c>
      <c r="V72" s="673">
        <v>11088.396492030701</v>
      </c>
      <c r="W72" s="673">
        <v>11867.7694568323</v>
      </c>
      <c r="X72" s="673">
        <v>12801.843484840099</v>
      </c>
      <c r="Y72" s="672">
        <v>13936.3026103212</v>
      </c>
      <c r="Z72" s="674">
        <v>13867.5831329346</v>
      </c>
      <c r="AA72" s="673">
        <v>15909.9330569741</v>
      </c>
      <c r="AB72" s="673">
        <v>14997.0684506008</v>
      </c>
      <c r="AC72" s="673">
        <v>15567.6525443059</v>
      </c>
      <c r="AD72" s="673">
        <v>14142.8285693899</v>
      </c>
      <c r="AE72" s="673">
        <v>16510.755905984301</v>
      </c>
    </row>
    <row r="73" spans="1:31">
      <c r="A73" s="663" t="s">
        <v>950</v>
      </c>
      <c r="B73" s="676">
        <v>4747</v>
      </c>
      <c r="C73" s="676">
        <v>2</v>
      </c>
      <c r="E73" s="663" t="s">
        <v>950</v>
      </c>
      <c r="F73" s="675">
        <v>9</v>
      </c>
      <c r="G73" s="777"/>
      <c r="H73" s="676"/>
      <c r="I73" s="663" t="str">
        <f t="shared" si="10"/>
        <v>Organic</v>
      </c>
      <c r="J73" s="676">
        <v>959.60599567610006</v>
      </c>
      <c r="K73" s="676">
        <v>1990.8819275612</v>
      </c>
      <c r="L73" s="676">
        <v>824.48213145670002</v>
      </c>
      <c r="M73" s="675">
        <v>971.35541190469996</v>
      </c>
      <c r="N73" s="676">
        <v>437.7873828873</v>
      </c>
      <c r="O73" s="676">
        <v>-223.29308377859999</v>
      </c>
      <c r="P73" s="676">
        <v>384.22671732100002</v>
      </c>
      <c r="Q73" s="676">
        <v>669.80053356589997</v>
      </c>
      <c r="R73" s="676">
        <v>434.63272341010003</v>
      </c>
      <c r="S73" s="676">
        <v>-0.81910479560000005</v>
      </c>
      <c r="U73" s="663" t="str">
        <f t="shared" si="11"/>
        <v>Organic</v>
      </c>
      <c r="V73" s="676">
        <v>8</v>
      </c>
      <c r="W73" s="676">
        <v>17</v>
      </c>
      <c r="X73" s="676">
        <v>7</v>
      </c>
      <c r="Y73" s="675">
        <v>8</v>
      </c>
      <c r="Z73" s="734">
        <v>3</v>
      </c>
      <c r="AA73" s="676">
        <v>-1</v>
      </c>
      <c r="AB73" s="676">
        <v>3</v>
      </c>
      <c r="AC73" s="676">
        <v>4</v>
      </c>
      <c r="AD73" s="676">
        <v>3</v>
      </c>
      <c r="AE73" s="676">
        <v>1</v>
      </c>
    </row>
    <row r="74" spans="1:31">
      <c r="A74" s="663" t="s">
        <v>951</v>
      </c>
      <c r="B74" s="676">
        <v>1482.4304642515001</v>
      </c>
      <c r="C74" s="676">
        <v>-1.7283348113588455</v>
      </c>
      <c r="E74" s="663" t="s">
        <v>951</v>
      </c>
      <c r="F74" s="675">
        <v>2.9830988764633899</v>
      </c>
      <c r="G74" s="777"/>
      <c r="H74" s="676"/>
      <c r="I74" s="663" t="str">
        <f t="shared" si="10"/>
        <v>Currency</v>
      </c>
      <c r="J74" s="676">
        <v>756.23878696550003</v>
      </c>
      <c r="K74" s="676">
        <v>611.47373802239997</v>
      </c>
      <c r="L74" s="676">
        <v>186.7170932853</v>
      </c>
      <c r="M74" s="675">
        <v>-71.999154021699994</v>
      </c>
      <c r="N74" s="676">
        <v>-392.791041216</v>
      </c>
      <c r="O74" s="676">
        <v>-161.40865426880001</v>
      </c>
      <c r="P74" s="676">
        <v>-582.45530535119997</v>
      </c>
      <c r="Q74" s="676">
        <v>93.721826269999994</v>
      </c>
      <c r="R74" s="676">
        <v>-17.9791843454</v>
      </c>
      <c r="S74" s="676">
        <v>-1452.6655476011999</v>
      </c>
      <c r="U74" s="663" t="str">
        <f t="shared" si="11"/>
        <v>Currency</v>
      </c>
      <c r="V74" s="676">
        <v>6.820091502941958</v>
      </c>
      <c r="W74" s="676">
        <v>5.1523897582150386</v>
      </c>
      <c r="X74" s="676">
        <v>1.4585172323533697</v>
      </c>
      <c r="Y74" s="675">
        <v>-0.51663024286210291</v>
      </c>
      <c r="Z74" s="734">
        <v>-2.8324405013527345</v>
      </c>
      <c r="AA74" s="676">
        <v>-1.0145149806148728</v>
      </c>
      <c r="AB74" s="676">
        <v>-3.8837944046849113</v>
      </c>
      <c r="AC74" s="676">
        <v>0.60202927835950548</v>
      </c>
      <c r="AD74" s="676">
        <v>-0.12712580271469412</v>
      </c>
      <c r="AE74" s="676">
        <v>-8.7982982479601866</v>
      </c>
    </row>
    <row r="75" spans="1:31">
      <c r="A75" s="680" t="s">
        <v>952</v>
      </c>
      <c r="B75" s="735">
        <v>4420.3692099407999</v>
      </c>
      <c r="C75" s="735">
        <v>5.0325174558529788</v>
      </c>
      <c r="E75" s="680" t="s">
        <v>952</v>
      </c>
      <c r="F75" s="681">
        <v>8.8951210473037321</v>
      </c>
      <c r="G75" s="777"/>
      <c r="H75" s="676"/>
      <c r="I75" s="680" t="str">
        <f t="shared" si="10"/>
        <v>Structure</v>
      </c>
      <c r="J75" s="735">
        <v>1064.0418582622999</v>
      </c>
      <c r="K75" s="735">
        <v>1439.8079345581</v>
      </c>
      <c r="L75" s="735">
        <v>1183.5257410189001</v>
      </c>
      <c r="M75" s="681">
        <v>732.9936761015</v>
      </c>
      <c r="N75" s="735">
        <v>230.24909478390001</v>
      </c>
      <c r="O75" s="735">
        <v>985.52458705749996</v>
      </c>
      <c r="P75" s="735">
        <v>901.0002339202</v>
      </c>
      <c r="Q75" s="735">
        <v>920.01002899100001</v>
      </c>
      <c r="R75" s="735">
        <v>976.62424782750008</v>
      </c>
      <c r="S75" s="735">
        <v>72.607350079599996</v>
      </c>
      <c r="U75" s="680" t="str">
        <f t="shared" si="11"/>
        <v>Structure</v>
      </c>
      <c r="V75" s="735">
        <v>9.5959939656471835</v>
      </c>
      <c r="W75" s="735">
        <v>12.132085475667877</v>
      </c>
      <c r="X75" s="735">
        <v>9.2449633712552988</v>
      </c>
      <c r="Y75" s="681">
        <v>5.2595993112164932</v>
      </c>
      <c r="Z75" s="736">
        <v>1.6603404686796035</v>
      </c>
      <c r="AA75" s="735">
        <v>6.194398075267177</v>
      </c>
      <c r="AB75" s="735">
        <v>6.0078423785823611</v>
      </c>
      <c r="AC75" s="735">
        <v>5.9097543857214836</v>
      </c>
      <c r="AD75" s="735">
        <v>6.9054379259129357</v>
      </c>
      <c r="AE75" s="735">
        <v>0.43975787960915563</v>
      </c>
    </row>
    <row r="76" spans="1:31">
      <c r="A76" s="663" t="s">
        <v>832</v>
      </c>
      <c r="B76" s="676">
        <v>10649.125140791</v>
      </c>
      <c r="C76" s="676">
        <v>5</v>
      </c>
      <c r="E76" s="663" t="s">
        <v>832</v>
      </c>
      <c r="F76" s="675">
        <v>21</v>
      </c>
      <c r="G76" s="777"/>
      <c r="H76" s="676"/>
      <c r="I76" s="663" t="str">
        <f t="shared" si="10"/>
        <v>Total</v>
      </c>
      <c r="J76" s="676">
        <v>2779.8866409039001</v>
      </c>
      <c r="K76" s="676">
        <v>4042.1636001417</v>
      </c>
      <c r="L76" s="676">
        <v>2194.7249657609</v>
      </c>
      <c r="M76" s="675">
        <v>1632.3499339845</v>
      </c>
      <c r="N76" s="676">
        <v>275.24543645519998</v>
      </c>
      <c r="O76" s="676">
        <v>600.82284901009996</v>
      </c>
      <c r="P76" s="676">
        <v>702.77164589000006</v>
      </c>
      <c r="Q76" s="676">
        <v>1683.5323888268999</v>
      </c>
      <c r="R76" s="676">
        <v>1393.2777868922001</v>
      </c>
      <c r="S76" s="676">
        <v>-1380.8773023171998</v>
      </c>
      <c r="U76" s="663" t="str">
        <f t="shared" si="11"/>
        <v>Total</v>
      </c>
      <c r="V76" s="676">
        <v>25</v>
      </c>
      <c r="W76" s="676">
        <v>34</v>
      </c>
      <c r="X76" s="676">
        <v>17</v>
      </c>
      <c r="Y76" s="675">
        <v>12</v>
      </c>
      <c r="Z76" s="734">
        <v>2</v>
      </c>
      <c r="AA76" s="676">
        <v>4</v>
      </c>
      <c r="AB76" s="676">
        <v>5</v>
      </c>
      <c r="AC76" s="676">
        <v>11</v>
      </c>
      <c r="AD76" s="676">
        <v>10</v>
      </c>
      <c r="AE76" s="676">
        <v>-8</v>
      </c>
    </row>
    <row r="77" spans="1:31" ht="10.5">
      <c r="A77" s="671" t="s">
        <v>953</v>
      </c>
      <c r="B77" s="673">
        <v>60343.037184815308</v>
      </c>
      <c r="C77" s="673">
        <v>63603.609504997599</v>
      </c>
      <c r="E77" s="671" t="s">
        <v>953</v>
      </c>
      <c r="F77" s="672">
        <v>60343.037184815308</v>
      </c>
      <c r="G77" s="776"/>
      <c r="H77" s="676"/>
      <c r="I77" s="671" t="str">
        <f t="shared" si="10"/>
        <v>Operational closing balance</v>
      </c>
      <c r="J77" s="673">
        <v>13868.283132934601</v>
      </c>
      <c r="K77" s="673">
        <v>15909.933056974001</v>
      </c>
      <c r="L77" s="673">
        <v>14996.568450601</v>
      </c>
      <c r="M77" s="672">
        <v>15568.2525443057</v>
      </c>
      <c r="N77" s="673">
        <v>14142.8285693898</v>
      </c>
      <c r="O77" s="673">
        <v>16510.755905984199</v>
      </c>
      <c r="P77" s="673">
        <v>15699.8400964908</v>
      </c>
      <c r="Q77" s="673">
        <v>17251.184933132801</v>
      </c>
      <c r="R77" s="673">
        <v>15536.1063562821</v>
      </c>
      <c r="S77" s="673">
        <v>15129.878603667101</v>
      </c>
      <c r="U77" s="671" t="str">
        <f t="shared" si="11"/>
        <v>Operational closing balance</v>
      </c>
      <c r="V77" s="673">
        <v>13868.283132934601</v>
      </c>
      <c r="W77" s="673">
        <v>15909.933056974001</v>
      </c>
      <c r="X77" s="673">
        <v>14996.568450601</v>
      </c>
      <c r="Y77" s="672">
        <v>15568.2525443057</v>
      </c>
      <c r="Z77" s="674">
        <v>14142.8285693898</v>
      </c>
      <c r="AA77" s="673">
        <v>16510.755905984199</v>
      </c>
      <c r="AB77" s="673">
        <v>15699.8400964908</v>
      </c>
      <c r="AC77" s="673">
        <v>17251.184933132801</v>
      </c>
      <c r="AD77" s="673">
        <v>15536.1063562821</v>
      </c>
      <c r="AE77" s="673">
        <v>15129.878603667101</v>
      </c>
    </row>
    <row r="78" spans="1:31">
      <c r="A78" s="663" t="s">
        <v>979</v>
      </c>
      <c r="B78" s="676">
        <v>0</v>
      </c>
      <c r="C78" s="676">
        <v>0</v>
      </c>
      <c r="E78" s="663" t="s">
        <v>979</v>
      </c>
      <c r="F78" s="675">
        <v>0</v>
      </c>
      <c r="G78" s="777"/>
      <c r="H78" s="676"/>
      <c r="I78" s="663" t="s">
        <v>979</v>
      </c>
      <c r="J78" s="676">
        <v>0</v>
      </c>
      <c r="K78" s="676">
        <v>0</v>
      </c>
      <c r="L78" s="676">
        <v>0</v>
      </c>
      <c r="M78" s="675">
        <v>0</v>
      </c>
      <c r="N78" s="676">
        <v>0</v>
      </c>
      <c r="O78" s="676">
        <v>0</v>
      </c>
      <c r="P78" s="676">
        <v>0</v>
      </c>
      <c r="Q78" s="676">
        <v>0</v>
      </c>
      <c r="R78" s="676">
        <v>0</v>
      </c>
      <c r="S78" s="676">
        <v>0</v>
      </c>
      <c r="U78" s="663" t="s">
        <v>979</v>
      </c>
      <c r="V78" s="676">
        <v>0</v>
      </c>
      <c r="W78" s="676">
        <v>0</v>
      </c>
      <c r="X78" s="676">
        <v>0</v>
      </c>
      <c r="Y78" s="675">
        <v>0</v>
      </c>
      <c r="Z78" s="734">
        <v>0</v>
      </c>
      <c r="AA78" s="676">
        <v>0</v>
      </c>
      <c r="AB78" s="676">
        <v>0</v>
      </c>
      <c r="AC78" s="676">
        <v>0</v>
      </c>
      <c r="AD78" s="676">
        <v>0</v>
      </c>
      <c r="AE78" s="676">
        <v>0</v>
      </c>
    </row>
    <row r="79" spans="1:31" ht="10.5">
      <c r="A79" s="767" t="s">
        <v>954</v>
      </c>
      <c r="B79" s="732">
        <v>60342.837184815304</v>
      </c>
      <c r="C79" s="732">
        <v>63603.609504997599</v>
      </c>
      <c r="E79" s="767" t="s">
        <v>954</v>
      </c>
      <c r="F79" s="731">
        <v>60342.837184815304</v>
      </c>
      <c r="G79" s="776"/>
      <c r="H79" s="676"/>
      <c r="I79" s="767" t="str">
        <f>A79</f>
        <v>Reported closing balance</v>
      </c>
      <c r="J79" s="732">
        <v>13867.5831329346</v>
      </c>
      <c r="K79" s="732">
        <v>15909.933056974</v>
      </c>
      <c r="L79" s="732">
        <v>14997.068450601</v>
      </c>
      <c r="M79" s="731">
        <v>15568.2525443057</v>
      </c>
      <c r="N79" s="732">
        <v>14142.8285693898</v>
      </c>
      <c r="O79" s="732">
        <v>16510.755905984199</v>
      </c>
      <c r="P79" s="732">
        <v>15699.8400964908</v>
      </c>
      <c r="Q79" s="732">
        <v>17251.184933132801</v>
      </c>
      <c r="R79" s="732">
        <v>15536.1063562821</v>
      </c>
      <c r="S79" s="732">
        <v>15129.878603667101</v>
      </c>
      <c r="U79" s="767" t="str">
        <f>E79</f>
        <v>Reported closing balance</v>
      </c>
      <c r="V79" s="732">
        <v>13867.5831329346</v>
      </c>
      <c r="W79" s="732">
        <v>15909.933056974</v>
      </c>
      <c r="X79" s="732">
        <v>14997.068450601</v>
      </c>
      <c r="Y79" s="731">
        <v>15568.2525443057</v>
      </c>
      <c r="Z79" s="768">
        <v>14142.8285693898</v>
      </c>
      <c r="AA79" s="732">
        <v>16510.755905984199</v>
      </c>
      <c r="AB79" s="732">
        <v>15699.8400964908</v>
      </c>
      <c r="AC79" s="732">
        <v>17251.184933132801</v>
      </c>
      <c r="AD79" s="732">
        <v>15536.1063562821</v>
      </c>
      <c r="AE79" s="732">
        <v>15129.878603667101</v>
      </c>
    </row>
    <row r="80" spans="1:31">
      <c r="F80" s="772"/>
      <c r="H80" s="676"/>
      <c r="M80" s="772"/>
    </row>
    <row r="81" spans="1:31" ht="10.5">
      <c r="A81" s="689" t="s">
        <v>34</v>
      </c>
      <c r="B81" s="689"/>
      <c r="C81" s="689"/>
      <c r="E81" s="689" t="s">
        <v>34</v>
      </c>
      <c r="F81" s="690"/>
      <c r="G81" s="775"/>
      <c r="H81" s="676"/>
      <c r="I81" s="689" t="str">
        <f>A81</f>
        <v xml:space="preserve">Revenues </v>
      </c>
      <c r="J81" s="689"/>
      <c r="K81" s="689"/>
      <c r="L81" s="689"/>
      <c r="M81" s="690"/>
      <c r="N81" s="689"/>
      <c r="O81" s="689"/>
      <c r="P81" s="689"/>
      <c r="Q81" s="689"/>
      <c r="R81" s="689"/>
      <c r="S81" s="689"/>
      <c r="U81" s="689" t="str">
        <f>E81</f>
        <v xml:space="preserve">Revenues </v>
      </c>
      <c r="V81" s="689"/>
      <c r="W81" s="689"/>
      <c r="X81" s="689"/>
      <c r="Y81" s="690"/>
      <c r="Z81" s="691"/>
      <c r="AA81" s="689"/>
      <c r="AB81" s="689"/>
      <c r="AC81" s="689"/>
      <c r="AD81" s="689"/>
      <c r="AE81" s="689"/>
    </row>
    <row r="82" spans="1:31" ht="10.5">
      <c r="A82" s="764" t="s">
        <v>70</v>
      </c>
      <c r="B82" s="764">
        <v>2023</v>
      </c>
      <c r="C82" s="764">
        <v>2024</v>
      </c>
      <c r="E82" s="764" t="s">
        <v>70</v>
      </c>
      <c r="F82" s="765">
        <v>2023</v>
      </c>
      <c r="G82" s="775"/>
      <c r="H82" s="676"/>
      <c r="I82" s="764" t="str">
        <f>A82</f>
        <v>Equipment &amp; Services</v>
      </c>
      <c r="J82" s="764" t="s">
        <v>803</v>
      </c>
      <c r="K82" s="764" t="s">
        <v>812</v>
      </c>
      <c r="L82" s="764" t="s">
        <v>816</v>
      </c>
      <c r="M82" s="765" t="s">
        <v>835</v>
      </c>
      <c r="N82" s="764" t="s">
        <v>872</v>
      </c>
      <c r="O82" s="764" t="s">
        <v>986</v>
      </c>
      <c r="P82" s="764" t="s">
        <v>1016</v>
      </c>
      <c r="Q82" s="764" t="s">
        <v>1039</v>
      </c>
      <c r="R82" s="764" t="s">
        <v>1076</v>
      </c>
      <c r="S82" s="764" t="s">
        <v>1285</v>
      </c>
      <c r="U82" s="764" t="str">
        <f>E82</f>
        <v>Equipment &amp; Services</v>
      </c>
      <c r="V82" s="764" t="s">
        <v>803</v>
      </c>
      <c r="W82" s="764" t="s">
        <v>812</v>
      </c>
      <c r="X82" s="764" t="s">
        <v>816</v>
      </c>
      <c r="Y82" s="765" t="s">
        <v>835</v>
      </c>
      <c r="Z82" s="766" t="s">
        <v>872</v>
      </c>
      <c r="AA82" s="764" t="s">
        <v>986</v>
      </c>
      <c r="AB82" s="764" t="s">
        <v>1016</v>
      </c>
      <c r="AC82" s="764" t="s">
        <v>1039</v>
      </c>
      <c r="AD82" s="764" t="s">
        <v>1076</v>
      </c>
      <c r="AE82" s="764" t="s">
        <v>1285</v>
      </c>
    </row>
    <row r="83" spans="1:31" ht="10.5">
      <c r="A83" s="671" t="s">
        <v>947</v>
      </c>
      <c r="B83" s="673">
        <v>38903.659714152898</v>
      </c>
      <c r="C83" s="673">
        <v>47530.232350032296</v>
      </c>
      <c r="E83" s="671" t="s">
        <v>947</v>
      </c>
      <c r="F83" s="672">
        <v>38903.659714152898</v>
      </c>
      <c r="G83" s="776"/>
      <c r="H83" s="676"/>
      <c r="I83" s="671" t="str">
        <f>A83</f>
        <v>Reported opening balance</v>
      </c>
      <c r="J83" s="673">
        <v>8485.0400528851005</v>
      </c>
      <c r="K83" s="673">
        <v>9059.9807295390001</v>
      </c>
      <c r="L83" s="673">
        <v>10069.6841372535</v>
      </c>
      <c r="M83" s="672">
        <v>11288.954794475299</v>
      </c>
      <c r="N83" s="673">
        <v>10733.1447077799</v>
      </c>
      <c r="O83" s="673">
        <v>12509.976531025301</v>
      </c>
      <c r="P83" s="673">
        <v>11729.224263104999</v>
      </c>
      <c r="Q83" s="673">
        <v>12557.8868481221</v>
      </c>
      <c r="R83" s="673">
        <v>11212.365580766</v>
      </c>
      <c r="S83" s="673">
        <v>12515.526100765101</v>
      </c>
      <c r="U83" s="671" t="str">
        <f>E83</f>
        <v>Reported opening balance</v>
      </c>
      <c r="V83" s="673">
        <v>8485.0400528851005</v>
      </c>
      <c r="W83" s="673">
        <v>9059.9807295390001</v>
      </c>
      <c r="X83" s="673">
        <v>10069.6841372535</v>
      </c>
      <c r="Y83" s="672">
        <v>11288.954794475299</v>
      </c>
      <c r="Z83" s="674">
        <v>10733.1447077799</v>
      </c>
      <c r="AA83" s="673">
        <v>12509.976531025301</v>
      </c>
      <c r="AB83" s="673">
        <v>11729.224263104999</v>
      </c>
      <c r="AC83" s="673">
        <v>12557.8868481221</v>
      </c>
      <c r="AD83" s="673">
        <v>11212.365580766</v>
      </c>
      <c r="AE83" s="673">
        <v>12515.526100765101</v>
      </c>
    </row>
    <row r="84" spans="1:31" s="2" customFormat="1">
      <c r="A84" s="663" t="s">
        <v>979</v>
      </c>
      <c r="B84" s="728">
        <v>0</v>
      </c>
      <c r="C84" s="728">
        <v>0</v>
      </c>
      <c r="D84" s="663"/>
      <c r="E84" s="2" t="s">
        <v>948</v>
      </c>
      <c r="F84" s="727">
        <v>0</v>
      </c>
      <c r="G84" s="779"/>
      <c r="H84" s="676"/>
      <c r="I84" s="663" t="s">
        <v>979</v>
      </c>
      <c r="J84" s="728">
        <v>0</v>
      </c>
      <c r="K84" s="728">
        <v>0</v>
      </c>
      <c r="L84" s="728">
        <v>0</v>
      </c>
      <c r="M84" s="729">
        <v>0</v>
      </c>
      <c r="N84" s="728">
        <v>0</v>
      </c>
      <c r="O84" s="728">
        <v>0</v>
      </c>
      <c r="P84" s="728">
        <v>0</v>
      </c>
      <c r="Q84" s="728">
        <v>0</v>
      </c>
      <c r="R84" s="728">
        <v>0</v>
      </c>
      <c r="S84" s="728">
        <v>0</v>
      </c>
      <c r="T84" s="663"/>
      <c r="U84" s="663" t="s">
        <v>979</v>
      </c>
      <c r="V84" s="728">
        <v>0</v>
      </c>
      <c r="W84" s="728">
        <v>0</v>
      </c>
      <c r="X84" s="728">
        <v>0</v>
      </c>
      <c r="Y84" s="729">
        <v>0</v>
      </c>
      <c r="Z84" s="730">
        <v>0</v>
      </c>
      <c r="AA84" s="728">
        <v>0</v>
      </c>
      <c r="AB84" s="728">
        <v>0</v>
      </c>
      <c r="AC84" s="728">
        <v>0</v>
      </c>
      <c r="AD84" s="728">
        <v>0</v>
      </c>
      <c r="AE84" s="728">
        <v>0</v>
      </c>
    </row>
    <row r="85" spans="1:31" ht="10.5">
      <c r="A85" s="671" t="s">
        <v>949</v>
      </c>
      <c r="B85" s="673">
        <v>38903.659714152898</v>
      </c>
      <c r="C85" s="673">
        <v>47530.232350032296</v>
      </c>
      <c r="E85" s="671" t="s">
        <v>949</v>
      </c>
      <c r="F85" s="672">
        <v>38903.659714152898</v>
      </c>
      <c r="G85" s="776"/>
      <c r="H85" s="676"/>
      <c r="I85" s="671" t="str">
        <f t="shared" ref="I85:I92" si="12">A85</f>
        <v>Adjusted opening balance</v>
      </c>
      <c r="J85" s="673">
        <v>8485.0400528851005</v>
      </c>
      <c r="K85" s="673">
        <v>9059.9807295390001</v>
      </c>
      <c r="L85" s="673">
        <v>10069.6841372535</v>
      </c>
      <c r="M85" s="672">
        <v>11288.954794475299</v>
      </c>
      <c r="N85" s="673">
        <v>10733.1447077799</v>
      </c>
      <c r="O85" s="673">
        <v>12509.976531025301</v>
      </c>
      <c r="P85" s="673">
        <v>11729.224263104999</v>
      </c>
      <c r="Q85" s="673">
        <v>12557.8868481221</v>
      </c>
      <c r="R85" s="673">
        <v>11212.365580766</v>
      </c>
      <c r="S85" s="673">
        <v>12515.526100765101</v>
      </c>
      <c r="U85" s="671" t="str">
        <f t="shared" ref="U85:U90" si="13">E85</f>
        <v>Adjusted opening balance</v>
      </c>
      <c r="V85" s="673">
        <v>8485.0400528851005</v>
      </c>
      <c r="W85" s="673">
        <v>9059.9807295390001</v>
      </c>
      <c r="X85" s="673">
        <v>10069.6841372535</v>
      </c>
      <c r="Y85" s="672">
        <v>11288.954794475299</v>
      </c>
      <c r="Z85" s="674">
        <v>10733.1447077799</v>
      </c>
      <c r="AA85" s="673">
        <v>12509.976531025301</v>
      </c>
      <c r="AB85" s="673">
        <v>11729.224263104999</v>
      </c>
      <c r="AC85" s="673">
        <v>12557.8868481221</v>
      </c>
      <c r="AD85" s="673">
        <v>11212.365580766</v>
      </c>
      <c r="AE85" s="673">
        <v>12515.526100765101</v>
      </c>
    </row>
    <row r="86" spans="1:31">
      <c r="A86" s="663" t="s">
        <v>950</v>
      </c>
      <c r="B86" s="676">
        <v>4711</v>
      </c>
      <c r="C86" s="676">
        <v>5</v>
      </c>
      <c r="E86" s="663" t="s">
        <v>950</v>
      </c>
      <c r="F86" s="675">
        <v>12</v>
      </c>
      <c r="G86" s="777"/>
      <c r="H86" s="676"/>
      <c r="I86" s="663" t="str">
        <f t="shared" si="12"/>
        <v>Organic</v>
      </c>
      <c r="J86" s="676">
        <v>880.46688210410002</v>
      </c>
      <c r="K86" s="676">
        <v>2033.4890719621999</v>
      </c>
      <c r="L86" s="676">
        <v>820.70020341990005</v>
      </c>
      <c r="M86" s="675">
        <v>975.57011813019994</v>
      </c>
      <c r="N86" s="676">
        <v>700.89773869160001</v>
      </c>
      <c r="O86" s="676">
        <v>128.69405315149999</v>
      </c>
      <c r="P86" s="676">
        <v>595.64917702119999</v>
      </c>
      <c r="Q86" s="676">
        <v>668.99228845549999</v>
      </c>
      <c r="R86" s="676">
        <v>484.43368677239999</v>
      </c>
      <c r="S86" s="676">
        <v>38.499359337900003</v>
      </c>
      <c r="U86" s="663" t="str">
        <f t="shared" si="13"/>
        <v>Organic</v>
      </c>
      <c r="V86" s="676">
        <v>10</v>
      </c>
      <c r="W86" s="676">
        <v>22</v>
      </c>
      <c r="X86" s="676">
        <v>7</v>
      </c>
      <c r="Y86" s="675">
        <v>8</v>
      </c>
      <c r="Z86" s="734">
        <v>6</v>
      </c>
      <c r="AA86" s="676">
        <v>1</v>
      </c>
      <c r="AB86" s="676">
        <v>5</v>
      </c>
      <c r="AC86" s="676">
        <v>6</v>
      </c>
      <c r="AD86" s="676">
        <v>4.4443368677240001</v>
      </c>
      <c r="AE86" s="676">
        <v>1</v>
      </c>
    </row>
    <row r="87" spans="1:31">
      <c r="A87" s="663" t="s">
        <v>951</v>
      </c>
      <c r="B87" s="676">
        <v>1245.0817946023999</v>
      </c>
      <c r="C87" s="676">
        <v>-1.8766176490481512</v>
      </c>
      <c r="E87" s="663" t="s">
        <v>951</v>
      </c>
      <c r="F87" s="675">
        <v>3.20042331171596</v>
      </c>
      <c r="G87" s="777"/>
      <c r="H87" s="676"/>
      <c r="I87" s="663" t="str">
        <f t="shared" si="12"/>
        <v>Currency</v>
      </c>
      <c r="J87" s="676">
        <v>607.7191944791</v>
      </c>
      <c r="K87" s="676">
        <v>517.72619009089999</v>
      </c>
      <c r="L87" s="676">
        <v>157.18374703649999</v>
      </c>
      <c r="M87" s="675">
        <v>-37.547337004100001</v>
      </c>
      <c r="N87" s="676">
        <v>-323.16262453299998</v>
      </c>
      <c r="O87" s="676">
        <v>-141.68469552689999</v>
      </c>
      <c r="P87" s="676">
        <v>-480.19960849850003</v>
      </c>
      <c r="Q87" s="676">
        <v>53.086199644099999</v>
      </c>
      <c r="R87" s="676">
        <v>-18.1434125253</v>
      </c>
      <c r="S87" s="676">
        <v>-1119.2314186942999</v>
      </c>
      <c r="U87" s="663" t="str">
        <f t="shared" si="13"/>
        <v>Currency</v>
      </c>
      <c r="V87" s="676">
        <v>7.1622430853754446</v>
      </c>
      <c r="W87" s="676">
        <v>5.714429263661839</v>
      </c>
      <c r="X87" s="676">
        <v>1.5609600548937552</v>
      </c>
      <c r="Y87" s="675">
        <v>-0.33260242146133218</v>
      </c>
      <c r="Z87" s="734">
        <v>-3.0108848183026558</v>
      </c>
      <c r="AA87" s="676">
        <v>-1.1325736317371629</v>
      </c>
      <c r="AB87" s="676">
        <v>-4.0940440537828033</v>
      </c>
      <c r="AC87" s="676">
        <v>0.42273194754926846</v>
      </c>
      <c r="AD87" s="676">
        <v>-0.18143412525300001</v>
      </c>
      <c r="AE87" s="676">
        <v>-10</v>
      </c>
    </row>
    <row r="88" spans="1:31">
      <c r="A88" s="680" t="s">
        <v>952</v>
      </c>
      <c r="B88" s="735">
        <v>2670.0645656606002</v>
      </c>
      <c r="C88" s="735">
        <v>0.38233636540717764</v>
      </c>
      <c r="E88" s="680" t="s">
        <v>952</v>
      </c>
      <c r="F88" s="681">
        <v>6.8632734947793299</v>
      </c>
      <c r="G88" s="777"/>
      <c r="H88" s="676"/>
      <c r="I88" s="680" t="str">
        <f t="shared" si="12"/>
        <v>Structure</v>
      </c>
      <c r="J88" s="735">
        <v>759.91857831159996</v>
      </c>
      <c r="K88" s="735">
        <v>898.58053943319999</v>
      </c>
      <c r="L88" s="735">
        <v>680.65617539519997</v>
      </c>
      <c r="M88" s="681">
        <v>330.90927252059998</v>
      </c>
      <c r="N88" s="735">
        <v>101.48575882740001</v>
      </c>
      <c r="O88" s="735">
        <v>18.540212115100001</v>
      </c>
      <c r="P88" s="735">
        <v>30.903095218099999</v>
      </c>
      <c r="Q88" s="735">
        <v>30.796296676099999</v>
      </c>
      <c r="R88" s="735">
        <v>25.068123790999998</v>
      </c>
      <c r="S88" s="735">
        <v>-4.0240000200000001E-2</v>
      </c>
      <c r="U88" s="680" t="str">
        <f t="shared" si="13"/>
        <v>Structure</v>
      </c>
      <c r="V88" s="735">
        <v>8.9559810392787824</v>
      </c>
      <c r="W88" s="735">
        <v>9.9181285949481541</v>
      </c>
      <c r="X88" s="735">
        <v>6.759459046754654</v>
      </c>
      <c r="Y88" s="681">
        <v>2.9312658128681996</v>
      </c>
      <c r="Z88" s="736">
        <v>0.94553610885203321</v>
      </c>
      <c r="AA88" s="735">
        <v>0.14820341244541463</v>
      </c>
      <c r="AB88" s="735">
        <v>0.26347092122117227</v>
      </c>
      <c r="AC88" s="735">
        <v>0.24523470428231531</v>
      </c>
      <c r="AD88" s="735">
        <v>0.25068123791000002</v>
      </c>
      <c r="AE88" s="735">
        <v>-3.2152064464585346E-4</v>
      </c>
    </row>
    <row r="89" spans="1:31">
      <c r="A89" s="663" t="s">
        <v>832</v>
      </c>
      <c r="B89" s="676">
        <v>8626</v>
      </c>
      <c r="C89" s="676">
        <v>3</v>
      </c>
      <c r="E89" s="663" t="s">
        <v>832</v>
      </c>
      <c r="F89" s="675">
        <v>22</v>
      </c>
      <c r="G89" s="777"/>
      <c r="H89" s="676"/>
      <c r="I89" s="663" t="str">
        <f t="shared" si="12"/>
        <v>Total</v>
      </c>
      <c r="J89" s="676">
        <v>2248.1046548947998</v>
      </c>
      <c r="K89" s="676">
        <v>3449.7958014862998</v>
      </c>
      <c r="L89" s="676">
        <v>1658.5401258515999</v>
      </c>
      <c r="M89" s="675">
        <v>1268.9320536466998</v>
      </c>
      <c r="N89" s="676">
        <v>479.22087298600002</v>
      </c>
      <c r="O89" s="676">
        <v>5.5495697397000008</v>
      </c>
      <c r="P89" s="676">
        <v>146.35266374079995</v>
      </c>
      <c r="Q89" s="676">
        <v>752.87478477570005</v>
      </c>
      <c r="R89" s="676">
        <v>491.35839803810001</v>
      </c>
      <c r="S89" s="676">
        <v>-1080.7722993565999</v>
      </c>
      <c r="U89" s="663" t="str">
        <f t="shared" si="13"/>
        <v>Total</v>
      </c>
      <c r="V89" s="676">
        <v>26</v>
      </c>
      <c r="W89" s="676">
        <v>38</v>
      </c>
      <c r="X89" s="676">
        <v>16</v>
      </c>
      <c r="Y89" s="675">
        <v>11</v>
      </c>
      <c r="Z89" s="734">
        <v>4</v>
      </c>
      <c r="AA89" s="676">
        <v>0</v>
      </c>
      <c r="AB89" s="676">
        <v>1</v>
      </c>
      <c r="AC89" s="676">
        <v>6</v>
      </c>
      <c r="AD89" s="676">
        <v>4.9135839803810004</v>
      </c>
      <c r="AE89" s="676">
        <v>-9</v>
      </c>
    </row>
    <row r="90" spans="1:31" ht="10.5">
      <c r="A90" s="671" t="s">
        <v>953</v>
      </c>
      <c r="B90" s="673">
        <v>47530.032350032299</v>
      </c>
      <c r="C90" s="673">
        <v>48914.230241274505</v>
      </c>
      <c r="E90" s="671" t="s">
        <v>953</v>
      </c>
      <c r="F90" s="672">
        <v>47530.032350032299</v>
      </c>
      <c r="G90" s="776"/>
      <c r="H90" s="676"/>
      <c r="I90" s="671" t="str">
        <f t="shared" si="12"/>
        <v>Operational closing balance</v>
      </c>
      <c r="J90" s="673">
        <v>10733.1447077799</v>
      </c>
      <c r="K90" s="673">
        <v>12509.7765310253</v>
      </c>
      <c r="L90" s="673">
        <v>11729.224263105099</v>
      </c>
      <c r="M90" s="672">
        <v>12557.886848122</v>
      </c>
      <c r="N90" s="673">
        <v>11212.3655807659</v>
      </c>
      <c r="O90" s="673">
        <v>12515.526100765001</v>
      </c>
      <c r="P90" s="673">
        <v>11875.576926845799</v>
      </c>
      <c r="Q90" s="673">
        <v>13310.7616328978</v>
      </c>
      <c r="R90" s="673">
        <v>11703.723978804101</v>
      </c>
      <c r="S90" s="673">
        <v>11434.7538014085</v>
      </c>
      <c r="U90" s="671" t="str">
        <f t="shared" si="13"/>
        <v>Operational closing balance</v>
      </c>
      <c r="V90" s="673">
        <v>10733.1447077799</v>
      </c>
      <c r="W90" s="673">
        <v>12509.7765310253</v>
      </c>
      <c r="X90" s="673">
        <v>11729.224263105099</v>
      </c>
      <c r="Y90" s="672">
        <v>12557.886848122</v>
      </c>
      <c r="Z90" s="674">
        <v>11212.3655807659</v>
      </c>
      <c r="AA90" s="673">
        <v>12515.526100765001</v>
      </c>
      <c r="AB90" s="673">
        <v>11875.576926845799</v>
      </c>
      <c r="AC90" s="673">
        <v>13310.7616328978</v>
      </c>
      <c r="AD90" s="673">
        <v>11703.723978804101</v>
      </c>
      <c r="AE90" s="673">
        <v>11434.7538014085</v>
      </c>
    </row>
    <row r="91" spans="1:31" s="2" customFormat="1">
      <c r="A91" s="663" t="s">
        <v>979</v>
      </c>
      <c r="B91" s="749">
        <v>0</v>
      </c>
      <c r="C91" s="749">
        <v>0</v>
      </c>
      <c r="D91" s="663"/>
      <c r="E91" s="2" t="s">
        <v>948</v>
      </c>
      <c r="F91" s="727">
        <v>0</v>
      </c>
      <c r="G91" s="779"/>
      <c r="H91" s="676"/>
      <c r="I91" s="2" t="str">
        <f t="shared" si="12"/>
        <v>Adjustment</v>
      </c>
      <c r="J91" s="749">
        <v>0</v>
      </c>
      <c r="K91" s="749">
        <v>0</v>
      </c>
      <c r="L91" s="749">
        <v>0</v>
      </c>
      <c r="M91" s="727">
        <v>0</v>
      </c>
      <c r="N91" s="749">
        <v>0</v>
      </c>
      <c r="O91" s="749">
        <v>0</v>
      </c>
      <c r="P91" s="749">
        <v>0</v>
      </c>
      <c r="Q91" s="749">
        <v>0</v>
      </c>
      <c r="R91" s="749">
        <v>0</v>
      </c>
      <c r="S91" s="749">
        <v>0</v>
      </c>
      <c r="T91" s="663"/>
      <c r="U91" s="663" t="s">
        <v>979</v>
      </c>
      <c r="V91" s="749">
        <v>0</v>
      </c>
      <c r="W91" s="749">
        <v>0</v>
      </c>
      <c r="X91" s="749">
        <v>0</v>
      </c>
      <c r="Y91" s="727">
        <v>0</v>
      </c>
      <c r="Z91" s="750">
        <v>0</v>
      </c>
      <c r="AA91" s="749">
        <v>0</v>
      </c>
      <c r="AB91" s="749">
        <v>0</v>
      </c>
      <c r="AC91" s="749">
        <v>0</v>
      </c>
      <c r="AD91" s="749">
        <v>0</v>
      </c>
      <c r="AE91" s="749">
        <v>0</v>
      </c>
    </row>
    <row r="92" spans="1:31" ht="10.5">
      <c r="A92" s="767" t="s">
        <v>954</v>
      </c>
      <c r="B92" s="732">
        <v>47530.232350032296</v>
      </c>
      <c r="C92" s="732">
        <v>48914.230241274505</v>
      </c>
      <c r="E92" s="767" t="s">
        <v>954</v>
      </c>
      <c r="F92" s="731">
        <v>47530.232350032296</v>
      </c>
      <c r="G92" s="776"/>
      <c r="H92" s="676"/>
      <c r="I92" s="767" t="str">
        <f t="shared" si="12"/>
        <v>Reported closing balance</v>
      </c>
      <c r="J92" s="732">
        <v>10733.1447077799</v>
      </c>
      <c r="K92" s="732">
        <v>12509.976531025301</v>
      </c>
      <c r="L92" s="732">
        <v>11729.224263105099</v>
      </c>
      <c r="M92" s="731">
        <v>12557.886848122</v>
      </c>
      <c r="N92" s="732">
        <v>11212.3655807659</v>
      </c>
      <c r="O92" s="732">
        <v>12515.526100765001</v>
      </c>
      <c r="P92" s="732">
        <v>11875.576926845801</v>
      </c>
      <c r="Q92" s="732">
        <v>13310.7616328978</v>
      </c>
      <c r="R92" s="732">
        <v>11703.723978804101</v>
      </c>
      <c r="S92" s="732">
        <v>11434.7538014085</v>
      </c>
      <c r="U92" s="767" t="str">
        <f>E92</f>
        <v>Reported closing balance</v>
      </c>
      <c r="V92" s="732">
        <v>10733.1447077799</v>
      </c>
      <c r="W92" s="732">
        <v>12509.976531025301</v>
      </c>
      <c r="X92" s="732">
        <v>11729.224263105099</v>
      </c>
      <c r="Y92" s="731">
        <v>12557.886848122</v>
      </c>
      <c r="Z92" s="768">
        <v>11212.3655807659</v>
      </c>
      <c r="AA92" s="732">
        <v>12515.526100765001</v>
      </c>
      <c r="AB92" s="732">
        <v>11875.576926845801</v>
      </c>
      <c r="AC92" s="732">
        <v>13310.7616328978</v>
      </c>
      <c r="AD92" s="732">
        <v>11703.723978804101</v>
      </c>
      <c r="AE92" s="732">
        <v>11434.7538014085</v>
      </c>
    </row>
    <row r="93" spans="1:31">
      <c r="F93" s="772"/>
      <c r="H93" s="676"/>
      <c r="M93" s="772"/>
    </row>
    <row r="94" spans="1:31" ht="10.5">
      <c r="A94" s="689" t="s">
        <v>34</v>
      </c>
      <c r="B94" s="689"/>
      <c r="C94" s="689"/>
      <c r="E94" s="689" t="s">
        <v>34</v>
      </c>
      <c r="F94" s="690"/>
      <c r="G94" s="775"/>
      <c r="H94" s="676"/>
      <c r="I94" s="689" t="str">
        <f>A94</f>
        <v xml:space="preserve">Revenues </v>
      </c>
      <c r="J94" s="689"/>
      <c r="K94" s="689"/>
      <c r="L94" s="689"/>
      <c r="M94" s="690"/>
      <c r="N94" s="689"/>
      <c r="O94" s="689"/>
      <c r="P94" s="689"/>
      <c r="Q94" s="689"/>
      <c r="R94" s="689"/>
      <c r="S94" s="689"/>
      <c r="U94" s="689" t="str">
        <f>E94</f>
        <v xml:space="preserve">Revenues </v>
      </c>
      <c r="V94" s="689"/>
      <c r="W94" s="689"/>
      <c r="X94" s="689"/>
      <c r="Y94" s="690"/>
      <c r="Z94" s="691"/>
      <c r="AA94" s="689"/>
      <c r="AB94" s="689"/>
      <c r="AC94" s="689"/>
      <c r="AD94" s="689"/>
      <c r="AE94" s="689"/>
    </row>
    <row r="95" spans="1:31" ht="10.5">
      <c r="A95" s="764" t="s">
        <v>104</v>
      </c>
      <c r="B95" s="764">
        <v>2023</v>
      </c>
      <c r="C95" s="764">
        <v>2024</v>
      </c>
      <c r="E95" s="764" t="s">
        <v>104</v>
      </c>
      <c r="F95" s="765">
        <v>2023</v>
      </c>
      <c r="G95" s="775"/>
      <c r="H95" s="676"/>
      <c r="I95" s="764" t="str">
        <f>A95</f>
        <v xml:space="preserve">Equipment </v>
      </c>
      <c r="J95" s="764" t="s">
        <v>803</v>
      </c>
      <c r="K95" s="764" t="s">
        <v>812</v>
      </c>
      <c r="L95" s="764" t="s">
        <v>816</v>
      </c>
      <c r="M95" s="765" t="s">
        <v>835</v>
      </c>
      <c r="N95" s="764" t="s">
        <v>872</v>
      </c>
      <c r="O95" s="764" t="s">
        <v>986</v>
      </c>
      <c r="P95" s="764" t="s">
        <v>1016</v>
      </c>
      <c r="Q95" s="764" t="s">
        <v>1039</v>
      </c>
      <c r="R95" s="764" t="s">
        <v>1076</v>
      </c>
      <c r="S95" s="764" t="s">
        <v>1285</v>
      </c>
      <c r="U95" s="764" t="str">
        <f>E95</f>
        <v xml:space="preserve">Equipment </v>
      </c>
      <c r="V95" s="764" t="s">
        <v>803</v>
      </c>
      <c r="W95" s="764" t="s">
        <v>812</v>
      </c>
      <c r="X95" s="764" t="s">
        <v>816</v>
      </c>
      <c r="Y95" s="765" t="s">
        <v>835</v>
      </c>
      <c r="Z95" s="766" t="s">
        <v>872</v>
      </c>
      <c r="AA95" s="764" t="s">
        <v>986</v>
      </c>
      <c r="AB95" s="764" t="s">
        <v>1016</v>
      </c>
      <c r="AC95" s="764" t="s">
        <v>1039</v>
      </c>
      <c r="AD95" s="764" t="s">
        <v>1076</v>
      </c>
      <c r="AE95" s="764" t="s">
        <v>1285</v>
      </c>
    </row>
    <row r="96" spans="1:31" ht="10.5">
      <c r="A96" s="671" t="s">
        <v>947</v>
      </c>
      <c r="B96" s="673">
        <v>17169.6134543972</v>
      </c>
      <c r="C96" s="673">
        <v>20410.1837982896</v>
      </c>
      <c r="E96" s="671" t="s">
        <v>947</v>
      </c>
      <c r="F96" s="672">
        <v>17169.6134543972</v>
      </c>
      <c r="G96" s="776"/>
      <c r="H96" s="676"/>
      <c r="I96" s="671" t="str">
        <f>A96</f>
        <v>Reported opening balance</v>
      </c>
      <c r="J96" s="673">
        <v>3809.6257314947006</v>
      </c>
      <c r="K96" s="673">
        <v>3693.7341801234998</v>
      </c>
      <c r="L96" s="673">
        <v>4383.4352226832998</v>
      </c>
      <c r="M96" s="672">
        <v>5282.8183200957001</v>
      </c>
      <c r="N96" s="673">
        <v>4119.3110178055003</v>
      </c>
      <c r="O96" s="673">
        <v>5488.646848804301</v>
      </c>
      <c r="P96" s="673">
        <v>4871.4002468865992</v>
      </c>
      <c r="Q96" s="673">
        <v>5930.8256847931998</v>
      </c>
      <c r="R96" s="673">
        <v>4708.3182788562999</v>
      </c>
      <c r="S96" s="673">
        <v>5547.0454628759007</v>
      </c>
      <c r="U96" s="671" t="str">
        <f>E96</f>
        <v>Reported opening balance</v>
      </c>
      <c r="V96" s="673">
        <v>3809.6257314947006</v>
      </c>
      <c r="W96" s="673">
        <v>3693.7341801234998</v>
      </c>
      <c r="X96" s="673">
        <v>4383.4352226832998</v>
      </c>
      <c r="Y96" s="672">
        <v>5282.8183200957001</v>
      </c>
      <c r="Z96" s="674">
        <v>4119.3110178055003</v>
      </c>
      <c r="AA96" s="673">
        <v>5488.646848804301</v>
      </c>
      <c r="AB96" s="673">
        <v>4871.4002468865992</v>
      </c>
      <c r="AC96" s="673">
        <v>5930.8256847931998</v>
      </c>
      <c r="AD96" s="673">
        <v>4708.3182788562999</v>
      </c>
      <c r="AE96" s="673">
        <v>5547.0454628759007</v>
      </c>
    </row>
    <row r="97" spans="1:31">
      <c r="A97" s="663" t="s">
        <v>979</v>
      </c>
      <c r="B97" s="677">
        <v>0</v>
      </c>
      <c r="C97" s="677">
        <v>0.82322629556173066</v>
      </c>
      <c r="E97" s="663" t="s">
        <v>948</v>
      </c>
      <c r="F97" s="675">
        <v>0</v>
      </c>
      <c r="G97" s="777"/>
      <c r="H97" s="676"/>
      <c r="I97" s="663" t="s">
        <v>979</v>
      </c>
      <c r="J97" s="677">
        <v>0</v>
      </c>
      <c r="K97" s="677">
        <v>0</v>
      </c>
      <c r="L97" s="677">
        <v>0</v>
      </c>
      <c r="M97" s="678">
        <v>0</v>
      </c>
      <c r="N97" s="677">
        <v>0</v>
      </c>
      <c r="O97" s="677">
        <v>0</v>
      </c>
      <c r="P97" s="677">
        <v>101.5</v>
      </c>
      <c r="Q97" s="677">
        <v>0</v>
      </c>
      <c r="R97" s="677">
        <v>0</v>
      </c>
      <c r="S97" s="677">
        <v>0</v>
      </c>
      <c r="U97" s="663" t="s">
        <v>979</v>
      </c>
      <c r="V97" s="677">
        <v>0</v>
      </c>
      <c r="W97" s="677">
        <v>0</v>
      </c>
      <c r="X97" s="677">
        <v>0</v>
      </c>
      <c r="Y97" s="678">
        <v>0</v>
      </c>
      <c r="Z97" s="679">
        <v>0</v>
      </c>
      <c r="AA97" s="677">
        <v>1.2119927157363346</v>
      </c>
      <c r="AB97" s="677">
        <v>2.083589827480723</v>
      </c>
      <c r="AC97" s="677">
        <v>0</v>
      </c>
      <c r="AD97" s="677">
        <v>0</v>
      </c>
      <c r="AE97" s="677">
        <v>0</v>
      </c>
    </row>
    <row r="98" spans="1:31" ht="10.5">
      <c r="A98" s="671" t="s">
        <v>949</v>
      </c>
      <c r="B98" s="673">
        <v>17169.6134543972</v>
      </c>
      <c r="C98" s="673">
        <v>20578.2057982896</v>
      </c>
      <c r="E98" s="671" t="s">
        <v>949</v>
      </c>
      <c r="F98" s="672">
        <v>17169.6134543972</v>
      </c>
      <c r="G98" s="776"/>
      <c r="H98" s="676"/>
      <c r="I98" s="671" t="str">
        <f t="shared" ref="I98:I103" si="14">A98</f>
        <v>Adjusted opening balance</v>
      </c>
      <c r="J98" s="673">
        <v>3809.6257314947006</v>
      </c>
      <c r="K98" s="673">
        <v>3693.7341801234998</v>
      </c>
      <c r="L98" s="673">
        <v>4383.4352226832998</v>
      </c>
      <c r="M98" s="672">
        <v>5282.8183200957001</v>
      </c>
      <c r="N98" s="673">
        <v>4119.3110178055003</v>
      </c>
      <c r="O98" s="673">
        <v>5488.646848804301</v>
      </c>
      <c r="P98" s="673">
        <v>4972.9002468865992</v>
      </c>
      <c r="Q98" s="673">
        <v>5930.8256847931998</v>
      </c>
      <c r="R98" s="673">
        <v>4708.3182788562999</v>
      </c>
      <c r="S98" s="673">
        <v>5547.0454628759007</v>
      </c>
      <c r="U98" s="671" t="str">
        <f t="shared" ref="U98:U103" si="15">E98</f>
        <v>Adjusted opening balance</v>
      </c>
      <c r="V98" s="673">
        <v>3809.6257314947006</v>
      </c>
      <c r="W98" s="673">
        <v>3693.7341801234998</v>
      </c>
      <c r="X98" s="673">
        <v>4383.4352226832998</v>
      </c>
      <c r="Y98" s="672">
        <v>5282.8183200957001</v>
      </c>
      <c r="Z98" s="674">
        <v>4119.3110178055003</v>
      </c>
      <c r="AA98" s="673">
        <v>5555.168848804301</v>
      </c>
      <c r="AB98" s="673">
        <v>4972.9002468865992</v>
      </c>
      <c r="AC98" s="673">
        <v>5930.8256847931998</v>
      </c>
      <c r="AD98" s="673">
        <v>4708.3182788562999</v>
      </c>
      <c r="AE98" s="673">
        <v>5547.0454628759007</v>
      </c>
    </row>
    <row r="99" spans="1:31">
      <c r="A99" s="663" t="s">
        <v>950</v>
      </c>
      <c r="B99" s="733">
        <v>2070</v>
      </c>
      <c r="C99" s="733">
        <v>7</v>
      </c>
      <c r="E99" s="663" t="s">
        <v>950</v>
      </c>
      <c r="F99" s="675">
        <v>12</v>
      </c>
      <c r="G99" s="777"/>
      <c r="H99" s="676"/>
      <c r="I99" s="663" t="str">
        <f t="shared" si="14"/>
        <v>Organic</v>
      </c>
      <c r="J99" s="733">
        <v>-40.893011010100054</v>
      </c>
      <c r="K99" s="733">
        <v>1330.5329992410998</v>
      </c>
      <c r="L99" s="733">
        <v>266.61012683410007</v>
      </c>
      <c r="M99" s="744">
        <v>513.01387571989994</v>
      </c>
      <c r="N99" s="733">
        <v>540.90212581790001</v>
      </c>
      <c r="O99" s="733">
        <v>20.660248122999974</v>
      </c>
      <c r="P99" s="733">
        <v>410.66868166949996</v>
      </c>
      <c r="Q99" s="733">
        <v>229.81908450899994</v>
      </c>
      <c r="R99" s="733">
        <v>369.44548477239999</v>
      </c>
      <c r="S99" s="733">
        <v>-78.7144999625</v>
      </c>
      <c r="U99" s="663" t="str">
        <f t="shared" si="15"/>
        <v>Organic</v>
      </c>
      <c r="V99" s="733">
        <v>-1</v>
      </c>
      <c r="W99" s="733">
        <v>37</v>
      </c>
      <c r="X99" s="733">
        <v>6</v>
      </c>
      <c r="Y99" s="744">
        <v>10</v>
      </c>
      <c r="Z99" s="745">
        <v>13</v>
      </c>
      <c r="AA99" s="733">
        <v>1</v>
      </c>
      <c r="AB99" s="733">
        <v>8</v>
      </c>
      <c r="AC99" s="733">
        <v>4</v>
      </c>
      <c r="AD99" s="733">
        <v>8</v>
      </c>
      <c r="AE99" s="733">
        <v>-1</v>
      </c>
    </row>
    <row r="100" spans="1:31">
      <c r="A100" s="663" t="s">
        <v>951</v>
      </c>
      <c r="B100" s="733">
        <v>551.78256310959989</v>
      </c>
      <c r="C100" s="733">
        <v>-1.5681038466099941</v>
      </c>
      <c r="E100" s="663" t="s">
        <v>951</v>
      </c>
      <c r="F100" s="675">
        <v>3.21371569939617</v>
      </c>
      <c r="G100" s="777"/>
      <c r="H100" s="676"/>
      <c r="I100" s="663" t="str">
        <f t="shared" si="14"/>
        <v>Currency</v>
      </c>
      <c r="J100" s="733">
        <v>226.82200943620001</v>
      </c>
      <c r="K100" s="733">
        <v>231.42486583649998</v>
      </c>
      <c r="L100" s="733">
        <v>73.153823182699995</v>
      </c>
      <c r="M100" s="744">
        <v>20.381864654199994</v>
      </c>
      <c r="N100" s="733">
        <v>-134.34641544620001</v>
      </c>
      <c r="O100" s="733">
        <v>-29.783478379399995</v>
      </c>
      <c r="P100" s="733">
        <v>-207.84390340740003</v>
      </c>
      <c r="Q100" s="733">
        <v>49.286160546699996</v>
      </c>
      <c r="R100" s="733">
        <v>-5.4918176283999998</v>
      </c>
      <c r="S100" s="733">
        <v>-455.82610105549998</v>
      </c>
      <c r="U100" s="663" t="str">
        <f t="shared" si="15"/>
        <v>Currency</v>
      </c>
      <c r="V100" s="733">
        <v>5.9539184534856329</v>
      </c>
      <c r="W100" s="733">
        <v>6.2653362302525588</v>
      </c>
      <c r="X100" s="733">
        <v>1.6688697212666741</v>
      </c>
      <c r="Y100" s="744">
        <v>0.38581422678625771</v>
      </c>
      <c r="Z100" s="745">
        <v>-3.26138072278337</v>
      </c>
      <c r="AA100" s="733">
        <v>-0.53613993003670113</v>
      </c>
      <c r="AB100" s="733">
        <v>-4.1795309193568801</v>
      </c>
      <c r="AC100" s="733">
        <v>0.83101684598606684</v>
      </c>
      <c r="AD100" s="733">
        <v>-0.11664074735691021</v>
      </c>
      <c r="AE100" s="733">
        <v>-9</v>
      </c>
    </row>
    <row r="101" spans="1:31">
      <c r="A101" s="680" t="s">
        <v>952</v>
      </c>
      <c r="B101" s="746">
        <v>618.12344221730007</v>
      </c>
      <c r="C101" s="746">
        <v>1.3067161254211483</v>
      </c>
      <c r="E101" s="680" t="s">
        <v>952</v>
      </c>
      <c r="F101" s="681">
        <v>3.6001010963877955</v>
      </c>
      <c r="G101" s="777"/>
      <c r="H101" s="676"/>
      <c r="I101" s="680" t="str">
        <f t="shared" si="14"/>
        <v>Structure</v>
      </c>
      <c r="J101" s="746">
        <v>123.75645968000003</v>
      </c>
      <c r="K101" s="746">
        <v>232.75414403889999</v>
      </c>
      <c r="L101" s="746">
        <v>147.00121417510002</v>
      </c>
      <c r="M101" s="747">
        <v>114.61162432329999</v>
      </c>
      <c r="N101" s="746">
        <v>182.45155067900001</v>
      </c>
      <c r="O101" s="746">
        <v>66.521844327899998</v>
      </c>
      <c r="P101" s="746">
        <v>3.7089505351999961</v>
      </c>
      <c r="Q101" s="746">
        <v>82.738387946499998</v>
      </c>
      <c r="R101" s="746">
        <v>9.99982319171977E-11</v>
      </c>
      <c r="S101" s="746">
        <v>-2.0000000267028639E-10</v>
      </c>
      <c r="U101" s="680" t="str">
        <f t="shared" si="15"/>
        <v>Structure</v>
      </c>
      <c r="V101" s="746">
        <v>3.2485201540111497</v>
      </c>
      <c r="W101" s="746">
        <v>6.301323611519817</v>
      </c>
      <c r="X101" s="746">
        <v>3.3535619145094584</v>
      </c>
      <c r="Y101" s="747">
        <v>2.1695166742214176</v>
      </c>
      <c r="Z101" s="748">
        <v>4.4291763814473581</v>
      </c>
      <c r="AA101" s="746">
        <v>-2.8022928599941476E-6</v>
      </c>
      <c r="AB101" s="746">
        <v>7.4583248226667564E-2</v>
      </c>
      <c r="AC101" s="746">
        <v>1.3950568157591194</v>
      </c>
      <c r="AD101" s="746">
        <v>2.123863043971792E-12</v>
      </c>
      <c r="AE101" s="746">
        <v>-3.6055230484192771E-12</v>
      </c>
    </row>
    <row r="102" spans="1:31">
      <c r="A102" s="663" t="s">
        <v>832</v>
      </c>
      <c r="B102" s="733">
        <v>3240</v>
      </c>
      <c r="C102" s="733">
        <v>6</v>
      </c>
      <c r="E102" s="663" t="s">
        <v>832</v>
      </c>
      <c r="F102" s="675">
        <v>19</v>
      </c>
      <c r="G102" s="777"/>
      <c r="H102" s="676"/>
      <c r="I102" s="663" t="str">
        <f t="shared" si="14"/>
        <v>Total</v>
      </c>
      <c r="J102" s="733">
        <v>309.68545810609999</v>
      </c>
      <c r="K102" s="733">
        <v>1794.7120091164998</v>
      </c>
      <c r="L102" s="733">
        <v>486.76516419190011</v>
      </c>
      <c r="M102" s="744">
        <v>648.00736469739991</v>
      </c>
      <c r="N102" s="733">
        <v>589.00726105069998</v>
      </c>
      <c r="O102" s="733">
        <v>57.398614071499978</v>
      </c>
      <c r="P102" s="733">
        <v>206.53372879729991</v>
      </c>
      <c r="Q102" s="733">
        <v>361.84363300219991</v>
      </c>
      <c r="R102" s="733">
        <v>363.9536671441</v>
      </c>
      <c r="S102" s="733">
        <v>-534.54060101820005</v>
      </c>
      <c r="U102" s="663" t="str">
        <f t="shared" si="15"/>
        <v>Total</v>
      </c>
      <c r="V102" s="733">
        <v>8</v>
      </c>
      <c r="W102" s="733">
        <v>49</v>
      </c>
      <c r="X102" s="733">
        <v>11</v>
      </c>
      <c r="Y102" s="744">
        <v>12</v>
      </c>
      <c r="Z102" s="745">
        <v>14</v>
      </c>
      <c r="AA102" s="733">
        <v>0</v>
      </c>
      <c r="AB102" s="733">
        <v>4</v>
      </c>
      <c r="AC102" s="733">
        <v>6</v>
      </c>
      <c r="AD102" s="733">
        <v>8</v>
      </c>
      <c r="AE102" s="733">
        <v>-10</v>
      </c>
    </row>
    <row r="103" spans="1:31" ht="10.5">
      <c r="A103" s="671" t="s">
        <v>953</v>
      </c>
      <c r="B103" s="673">
        <v>20410.183450509099</v>
      </c>
      <c r="C103" s="673">
        <v>21727.467035211303</v>
      </c>
      <c r="E103" s="671" t="s">
        <v>953</v>
      </c>
      <c r="F103" s="672">
        <v>20410.183450509099</v>
      </c>
      <c r="G103" s="776"/>
      <c r="H103" s="676"/>
      <c r="I103" s="671" t="str">
        <f t="shared" si="14"/>
        <v>Operational closing balance</v>
      </c>
      <c r="J103" s="673">
        <v>4120.3111896008004</v>
      </c>
      <c r="K103" s="673">
        <v>5488.8461892399991</v>
      </c>
      <c r="L103" s="673">
        <v>4870.2003868751999</v>
      </c>
      <c r="M103" s="672">
        <v>5930.8256847930998</v>
      </c>
      <c r="N103" s="673">
        <v>4708.3182788562008</v>
      </c>
      <c r="O103" s="673">
        <v>5546.0454628758007</v>
      </c>
      <c r="P103" s="673">
        <v>5179.433975683899</v>
      </c>
      <c r="Q103" s="673">
        <v>6292.6693177953994</v>
      </c>
      <c r="R103" s="673">
        <v>5072.2719460004</v>
      </c>
      <c r="S103" s="673">
        <v>5012.204861857701</v>
      </c>
      <c r="U103" s="671" t="str">
        <f t="shared" si="15"/>
        <v>Operational closing balance</v>
      </c>
      <c r="V103" s="673">
        <v>4120.3111896008004</v>
      </c>
      <c r="W103" s="673">
        <v>5488.8461892399991</v>
      </c>
      <c r="X103" s="673">
        <v>4870.2003868751999</v>
      </c>
      <c r="Y103" s="672">
        <v>5930.8256847930998</v>
      </c>
      <c r="Z103" s="674">
        <v>4708.3182788562008</v>
      </c>
      <c r="AA103" s="673">
        <v>5547.0454628758007</v>
      </c>
      <c r="AB103" s="673">
        <v>5179.433975683899</v>
      </c>
      <c r="AC103" s="673">
        <v>6292.6693177953994</v>
      </c>
      <c r="AD103" s="673">
        <v>5072.2719460004</v>
      </c>
      <c r="AE103" s="673">
        <v>5012.204861857701</v>
      </c>
    </row>
    <row r="104" spans="1:31">
      <c r="A104" s="663" t="s">
        <v>979</v>
      </c>
      <c r="B104" s="677">
        <v>0</v>
      </c>
      <c r="C104" s="677">
        <v>0</v>
      </c>
      <c r="E104" s="663" t="s">
        <v>948</v>
      </c>
      <c r="F104" s="675">
        <v>0</v>
      </c>
      <c r="G104" s="777"/>
      <c r="H104" s="676"/>
      <c r="I104" s="663" t="s">
        <v>979</v>
      </c>
      <c r="J104" s="677">
        <v>0</v>
      </c>
      <c r="K104" s="677">
        <v>0</v>
      </c>
      <c r="L104" s="677">
        <v>0</v>
      </c>
      <c r="M104" s="678">
        <v>0</v>
      </c>
      <c r="N104" s="677">
        <v>0</v>
      </c>
      <c r="O104" s="677">
        <v>0</v>
      </c>
      <c r="P104" s="677">
        <v>0</v>
      </c>
      <c r="Q104" s="677">
        <v>0</v>
      </c>
      <c r="R104" s="677">
        <v>0</v>
      </c>
      <c r="S104" s="677">
        <v>0</v>
      </c>
      <c r="U104" s="663" t="s">
        <v>979</v>
      </c>
      <c r="V104" s="677">
        <v>0</v>
      </c>
      <c r="W104" s="677">
        <v>0</v>
      </c>
      <c r="X104" s="677">
        <v>0</v>
      </c>
      <c r="Y104" s="678">
        <v>0</v>
      </c>
      <c r="Z104" s="679">
        <v>0</v>
      </c>
      <c r="AA104" s="677">
        <v>0</v>
      </c>
      <c r="AB104" s="677">
        <v>0</v>
      </c>
      <c r="AC104" s="677">
        <v>0</v>
      </c>
      <c r="AD104" s="677">
        <v>0</v>
      </c>
      <c r="AE104" s="677">
        <v>0</v>
      </c>
    </row>
    <row r="105" spans="1:31" ht="10.5">
      <c r="A105" s="767" t="s">
        <v>954</v>
      </c>
      <c r="B105" s="732">
        <v>20410.183798289603</v>
      </c>
      <c r="C105" s="732">
        <v>21727.467035211303</v>
      </c>
      <c r="E105" s="767" t="s">
        <v>954</v>
      </c>
      <c r="F105" s="731">
        <v>20410.183798289603</v>
      </c>
      <c r="G105" s="776"/>
      <c r="H105" s="676"/>
      <c r="I105" s="767" t="str">
        <f>A105</f>
        <v>Reported closing balance</v>
      </c>
      <c r="J105" s="732">
        <v>4120.3110178055003</v>
      </c>
      <c r="K105" s="732">
        <v>5488.646848804301</v>
      </c>
      <c r="L105" s="732">
        <v>4870.4002468866993</v>
      </c>
      <c r="M105" s="731">
        <v>5930.8256847930998</v>
      </c>
      <c r="N105" s="732">
        <v>4708.3182788561999</v>
      </c>
      <c r="O105" s="732">
        <v>5546.0454628758007</v>
      </c>
      <c r="P105" s="732">
        <v>5179.4339756838999</v>
      </c>
      <c r="Q105" s="732">
        <v>6292.6693177954003</v>
      </c>
      <c r="R105" s="732">
        <v>5072.2719460004009</v>
      </c>
      <c r="S105" s="732">
        <v>5012.2048618577001</v>
      </c>
      <c r="U105" s="767" t="str">
        <f>E105</f>
        <v>Reported closing balance</v>
      </c>
      <c r="V105" s="732">
        <v>4120.3110178055003</v>
      </c>
      <c r="W105" s="732">
        <v>5488.646848804301</v>
      </c>
      <c r="X105" s="732">
        <v>4870.4002468866993</v>
      </c>
      <c r="Y105" s="731">
        <v>5930.8256847930998</v>
      </c>
      <c r="Z105" s="768">
        <v>4708.3182788561999</v>
      </c>
      <c r="AA105" s="732">
        <v>5547.0454628758007</v>
      </c>
      <c r="AB105" s="732">
        <v>5179.4339756838999</v>
      </c>
      <c r="AC105" s="732">
        <v>6292.6693177954003</v>
      </c>
      <c r="AD105" s="732">
        <v>5072.2719460004009</v>
      </c>
      <c r="AE105" s="732">
        <v>5012.2048618577001</v>
      </c>
    </row>
    <row r="106" spans="1:31">
      <c r="F106" s="772"/>
      <c r="H106" s="676"/>
      <c r="M106" s="772"/>
    </row>
    <row r="107" spans="1:31" ht="10.5">
      <c r="A107" s="689" t="s">
        <v>34</v>
      </c>
      <c r="B107" s="689"/>
      <c r="C107" s="689"/>
      <c r="E107" s="689" t="s">
        <v>34</v>
      </c>
      <c r="F107" s="690"/>
      <c r="G107" s="775"/>
      <c r="H107" s="676"/>
      <c r="I107" s="689" t="str">
        <f t="shared" ref="I107:I116" si="16">A107</f>
        <v xml:space="preserve">Revenues </v>
      </c>
      <c r="J107" s="689"/>
      <c r="K107" s="689"/>
      <c r="L107" s="689"/>
      <c r="M107" s="690"/>
      <c r="N107" s="689"/>
      <c r="O107" s="689"/>
      <c r="P107" s="689"/>
      <c r="Q107" s="689"/>
      <c r="R107" s="689"/>
      <c r="S107" s="689"/>
      <c r="U107" s="689" t="str">
        <f>E107</f>
        <v xml:space="preserve">Revenues </v>
      </c>
      <c r="V107" s="689"/>
      <c r="W107" s="689"/>
      <c r="X107" s="689"/>
      <c r="Y107" s="690"/>
      <c r="Z107" s="691"/>
      <c r="AA107" s="689"/>
      <c r="AB107" s="689"/>
      <c r="AC107" s="689"/>
      <c r="AD107" s="689"/>
      <c r="AE107" s="689"/>
    </row>
    <row r="108" spans="1:31" ht="10.5">
      <c r="A108" s="764" t="s">
        <v>72</v>
      </c>
      <c r="B108" s="764">
        <v>2023</v>
      </c>
      <c r="C108" s="764">
        <v>2024</v>
      </c>
      <c r="E108" s="764" t="s">
        <v>72</v>
      </c>
      <c r="F108" s="765">
        <v>2023</v>
      </c>
      <c r="G108" s="775"/>
      <c r="H108" s="676"/>
      <c r="I108" s="764" t="str">
        <f t="shared" si="16"/>
        <v>Service</v>
      </c>
      <c r="J108" s="764" t="s">
        <v>803</v>
      </c>
      <c r="K108" s="764" t="s">
        <v>812</v>
      </c>
      <c r="L108" s="764" t="s">
        <v>816</v>
      </c>
      <c r="M108" s="765" t="s">
        <v>835</v>
      </c>
      <c r="N108" s="764" t="s">
        <v>872</v>
      </c>
      <c r="O108" s="764" t="s">
        <v>986</v>
      </c>
      <c r="P108" s="764" t="s">
        <v>1016</v>
      </c>
      <c r="Q108" s="764" t="s">
        <v>1039</v>
      </c>
      <c r="R108" s="764" t="s">
        <v>1076</v>
      </c>
      <c r="S108" s="764" t="s">
        <v>1285</v>
      </c>
      <c r="U108" s="764" t="str">
        <f>E108</f>
        <v>Service</v>
      </c>
      <c r="V108" s="764" t="s">
        <v>803</v>
      </c>
      <c r="W108" s="764" t="s">
        <v>812</v>
      </c>
      <c r="X108" s="764" t="s">
        <v>816</v>
      </c>
      <c r="Y108" s="765" t="s">
        <v>835</v>
      </c>
      <c r="Z108" s="766" t="s">
        <v>872</v>
      </c>
      <c r="AA108" s="764" t="s">
        <v>986</v>
      </c>
      <c r="AB108" s="764" t="s">
        <v>1016</v>
      </c>
      <c r="AC108" s="764" t="s">
        <v>1039</v>
      </c>
      <c r="AD108" s="764" t="s">
        <v>1076</v>
      </c>
      <c r="AE108" s="764" t="s">
        <v>1285</v>
      </c>
    </row>
    <row r="109" spans="1:31" ht="10.5">
      <c r="A109" s="671" t="s">
        <v>947</v>
      </c>
      <c r="B109" s="673">
        <v>21734.046259755698</v>
      </c>
      <c r="C109" s="673">
        <v>27120.048551742701</v>
      </c>
      <c r="E109" s="671" t="s">
        <v>947</v>
      </c>
      <c r="F109" s="672">
        <v>21734.046259755698</v>
      </c>
      <c r="G109" s="776"/>
      <c r="H109" s="676"/>
      <c r="I109" s="671" t="str">
        <f t="shared" si="16"/>
        <v>Reported opening balance</v>
      </c>
      <c r="J109" s="673">
        <v>4675.4143213903999</v>
      </c>
      <c r="K109" s="673">
        <v>5366.2465494155003</v>
      </c>
      <c r="L109" s="673">
        <v>5686.2489145702002</v>
      </c>
      <c r="M109" s="672">
        <v>6006.1364743795993</v>
      </c>
      <c r="N109" s="673">
        <v>6613.8336899743999</v>
      </c>
      <c r="O109" s="673">
        <v>7021.3296822209995</v>
      </c>
      <c r="P109" s="673">
        <v>6857.8240162184002</v>
      </c>
      <c r="Q109" s="673">
        <v>6627.0611633289</v>
      </c>
      <c r="R109" s="673">
        <v>6504.0473019096999</v>
      </c>
      <c r="S109" s="673">
        <v>6969.4806378891999</v>
      </c>
      <c r="U109" s="671" t="str">
        <f>E109</f>
        <v>Reported opening balance</v>
      </c>
      <c r="V109" s="673">
        <v>4675.4143213903999</v>
      </c>
      <c r="W109" s="673">
        <v>5366.2465494155003</v>
      </c>
      <c r="X109" s="673">
        <v>5686.2489145702002</v>
      </c>
      <c r="Y109" s="672">
        <v>6006.1364743795993</v>
      </c>
      <c r="Z109" s="674">
        <v>6613.8336899743999</v>
      </c>
      <c r="AA109" s="673">
        <v>7021.3296822209995</v>
      </c>
      <c r="AB109" s="673">
        <v>6857.8240162184002</v>
      </c>
      <c r="AC109" s="673">
        <v>6627.0611633289</v>
      </c>
      <c r="AD109" s="673">
        <v>6504.0473019096999</v>
      </c>
      <c r="AE109" s="673">
        <v>6969.4806378891999</v>
      </c>
    </row>
    <row r="110" spans="1:31">
      <c r="A110" s="663" t="s">
        <v>979</v>
      </c>
      <c r="B110" s="677">
        <v>0</v>
      </c>
      <c r="C110" s="677">
        <v>-0.61954903834124253</v>
      </c>
      <c r="E110" s="663" t="s">
        <v>948</v>
      </c>
      <c r="F110" s="675">
        <v>0</v>
      </c>
      <c r="G110" s="777"/>
      <c r="H110" s="676"/>
      <c r="I110" s="663" t="str">
        <f t="shared" si="16"/>
        <v>Adjustment</v>
      </c>
      <c r="J110" s="677">
        <v>0</v>
      </c>
      <c r="K110" s="677">
        <v>0</v>
      </c>
      <c r="L110" s="677">
        <v>0</v>
      </c>
      <c r="M110" s="678">
        <v>0</v>
      </c>
      <c r="N110" s="677">
        <v>0</v>
      </c>
      <c r="O110" s="677">
        <v>0</v>
      </c>
      <c r="P110" s="677">
        <v>-101.5</v>
      </c>
      <c r="Q110" s="677">
        <v>0</v>
      </c>
      <c r="R110" s="677">
        <v>0</v>
      </c>
      <c r="S110" s="677">
        <v>0</v>
      </c>
      <c r="U110" s="663" t="s">
        <v>979</v>
      </c>
      <c r="V110" s="677">
        <v>0</v>
      </c>
      <c r="W110" s="677">
        <v>0</v>
      </c>
      <c r="X110" s="677">
        <v>0</v>
      </c>
      <c r="Y110" s="678">
        <v>0</v>
      </c>
      <c r="Z110" s="679">
        <v>0</v>
      </c>
      <c r="AA110" s="677">
        <v>-0.94742738214448363</v>
      </c>
      <c r="AB110" s="677">
        <v>-1.4800613104092162</v>
      </c>
      <c r="AC110" s="677">
        <v>0</v>
      </c>
      <c r="AD110" s="677">
        <v>0</v>
      </c>
      <c r="AE110" s="677">
        <v>0</v>
      </c>
    </row>
    <row r="111" spans="1:31" ht="10.5">
      <c r="A111" s="671" t="s">
        <v>949</v>
      </c>
      <c r="B111" s="673">
        <v>21734.046259755698</v>
      </c>
      <c r="C111" s="673">
        <v>26952.0265517427</v>
      </c>
      <c r="E111" s="671" t="s">
        <v>949</v>
      </c>
      <c r="F111" s="672">
        <v>21734.046259755698</v>
      </c>
      <c r="G111" s="776"/>
      <c r="H111" s="676"/>
      <c r="I111" s="671" t="str">
        <f t="shared" si="16"/>
        <v>Adjusted opening balance</v>
      </c>
      <c r="J111" s="673">
        <v>4675.4143213903999</v>
      </c>
      <c r="K111" s="673">
        <v>5366.2465494155003</v>
      </c>
      <c r="L111" s="673">
        <v>5686.2489145702002</v>
      </c>
      <c r="M111" s="672">
        <v>6006.1364743795993</v>
      </c>
      <c r="N111" s="673">
        <v>6613.8336899743999</v>
      </c>
      <c r="O111" s="673">
        <v>7021.3296822209995</v>
      </c>
      <c r="P111" s="673">
        <v>6756.3240162184002</v>
      </c>
      <c r="Q111" s="673">
        <v>6627.0611633289</v>
      </c>
      <c r="R111" s="673">
        <v>6504.0473019096999</v>
      </c>
      <c r="S111" s="673">
        <v>6969.4806378891999</v>
      </c>
      <c r="U111" s="671" t="str">
        <f t="shared" ref="U111:U116" si="17">E111</f>
        <v>Adjusted opening balance</v>
      </c>
      <c r="V111" s="673">
        <v>4675.4143213903999</v>
      </c>
      <c r="W111" s="673">
        <v>5366.2465494155003</v>
      </c>
      <c r="X111" s="673">
        <v>5686.2489145702002</v>
      </c>
      <c r="Y111" s="672">
        <v>6006.1364743795993</v>
      </c>
      <c r="Z111" s="674">
        <v>6613.8336899743999</v>
      </c>
      <c r="AA111" s="673">
        <v>6954.8076822209996</v>
      </c>
      <c r="AB111" s="673">
        <v>6756.3240162184002</v>
      </c>
      <c r="AC111" s="673">
        <v>6627.0611633289</v>
      </c>
      <c r="AD111" s="673">
        <v>6504.0473019096999</v>
      </c>
      <c r="AE111" s="673">
        <v>6969.4806378891999</v>
      </c>
    </row>
    <row r="112" spans="1:31">
      <c r="A112" s="663" t="s">
        <v>950</v>
      </c>
      <c r="B112" s="733">
        <v>2641</v>
      </c>
      <c r="C112" s="733">
        <v>3</v>
      </c>
      <c r="E112" s="663" t="s">
        <v>950</v>
      </c>
      <c r="F112" s="675">
        <v>13</v>
      </c>
      <c r="G112" s="777"/>
      <c r="H112" s="676"/>
      <c r="I112" s="663" t="str">
        <f t="shared" si="16"/>
        <v>Organic</v>
      </c>
      <c r="J112" s="733">
        <v>921.35989311420008</v>
      </c>
      <c r="K112" s="733">
        <v>702.95607272109999</v>
      </c>
      <c r="L112" s="733">
        <v>554.89007658579999</v>
      </c>
      <c r="M112" s="744">
        <v>462.5562424103</v>
      </c>
      <c r="N112" s="733">
        <v>159.9956128737</v>
      </c>
      <c r="O112" s="733">
        <v>108.03380502850001</v>
      </c>
      <c r="P112" s="733">
        <v>184.9804953517</v>
      </c>
      <c r="Q112" s="733">
        <v>439.17320394650005</v>
      </c>
      <c r="R112" s="733">
        <v>114.988202</v>
      </c>
      <c r="S112" s="733">
        <v>118.0138593004</v>
      </c>
      <c r="U112" s="663" t="str">
        <f t="shared" si="17"/>
        <v>Organic</v>
      </c>
      <c r="V112" s="733">
        <v>19</v>
      </c>
      <c r="W112" s="733">
        <v>14</v>
      </c>
      <c r="X112" s="733">
        <v>11</v>
      </c>
      <c r="Y112" s="744">
        <v>7</v>
      </c>
      <c r="Z112" s="745">
        <v>2</v>
      </c>
      <c r="AA112" s="733">
        <v>2</v>
      </c>
      <c r="AB112" s="733">
        <v>3</v>
      </c>
      <c r="AC112" s="733">
        <v>7</v>
      </c>
      <c r="AD112" s="733">
        <v>2</v>
      </c>
      <c r="AE112" s="733">
        <v>2</v>
      </c>
    </row>
    <row r="113" spans="1:31">
      <c r="A113" s="663" t="s">
        <v>951</v>
      </c>
      <c r="B113" s="733">
        <v>693.2992314928</v>
      </c>
      <c r="C113" s="733">
        <v>-2.1121717550073842</v>
      </c>
      <c r="E113" s="663" t="s">
        <v>951</v>
      </c>
      <c r="F113" s="675">
        <v>3.1899224985849144</v>
      </c>
      <c r="G113" s="777"/>
      <c r="H113" s="676"/>
      <c r="I113" s="663" t="str">
        <f t="shared" si="16"/>
        <v>Currency</v>
      </c>
      <c r="J113" s="733">
        <v>380.89718504289999</v>
      </c>
      <c r="K113" s="733">
        <v>286.30132425440001</v>
      </c>
      <c r="L113" s="733">
        <v>84.0299238538</v>
      </c>
      <c r="M113" s="744">
        <v>-57.929201658299995</v>
      </c>
      <c r="N113" s="733">
        <v>-188.81620908679997</v>
      </c>
      <c r="O113" s="733">
        <v>-111.90121714749999</v>
      </c>
      <c r="P113" s="733">
        <v>-272.35570509109999</v>
      </c>
      <c r="Q113" s="733">
        <v>3.8000390973999996</v>
      </c>
      <c r="R113" s="733">
        <v>-12.651594896900001</v>
      </c>
      <c r="S113" s="733">
        <v>-664.40531763880006</v>
      </c>
      <c r="U113" s="663" t="str">
        <f t="shared" si="17"/>
        <v>Currency</v>
      </c>
      <c r="V113" s="733">
        <v>8.146811359589341</v>
      </c>
      <c r="W113" s="733">
        <v>5.3352249401508471</v>
      </c>
      <c r="X113" s="733">
        <v>1.4777742781974479</v>
      </c>
      <c r="Y113" s="744">
        <v>-0.96450025578687437</v>
      </c>
      <c r="Z113" s="745">
        <v>-2.8548678109795471</v>
      </c>
      <c r="AA113" s="733">
        <v>-1.6089764413408572</v>
      </c>
      <c r="AB113" s="733">
        <v>-4.0311226110132727</v>
      </c>
      <c r="AC113" s="733">
        <v>5.7341240766384707E-2</v>
      </c>
      <c r="AD113" s="733">
        <v>-0.19451880205707109</v>
      </c>
      <c r="AE113" s="733">
        <v>-9.5287633633477338</v>
      </c>
    </row>
    <row r="114" spans="1:31">
      <c r="A114" s="680" t="s">
        <v>952</v>
      </c>
      <c r="B114" s="746">
        <v>2051.9411234432996</v>
      </c>
      <c r="C114" s="746">
        <v>-0.3234390203814318</v>
      </c>
      <c r="E114" s="680" t="s">
        <v>952</v>
      </c>
      <c r="F114" s="681">
        <v>9.4411371859588762</v>
      </c>
      <c r="G114" s="777"/>
      <c r="H114" s="676"/>
      <c r="I114" s="680" t="str">
        <f t="shared" si="16"/>
        <v>Structure</v>
      </c>
      <c r="J114" s="746">
        <v>636.16211863159992</v>
      </c>
      <c r="K114" s="746">
        <v>665.82639539429999</v>
      </c>
      <c r="L114" s="746">
        <v>533.65496122009995</v>
      </c>
      <c r="M114" s="747">
        <v>216.29764819729999</v>
      </c>
      <c r="N114" s="746">
        <v>-80.965791851600002</v>
      </c>
      <c r="O114" s="746">
        <v>-47.981632212799994</v>
      </c>
      <c r="P114" s="746">
        <v>27.194144682900003</v>
      </c>
      <c r="Q114" s="746">
        <v>-51.942091270399999</v>
      </c>
      <c r="R114" s="746">
        <v>25.0681237909</v>
      </c>
      <c r="S114" s="746">
        <v>-4.0239999999999998E-2</v>
      </c>
      <c r="U114" s="680" t="str">
        <f t="shared" si="17"/>
        <v>Structure</v>
      </c>
      <c r="V114" s="746">
        <v>13.6065399748875</v>
      </c>
      <c r="W114" s="746">
        <v>12.407674326235025</v>
      </c>
      <c r="X114" s="746">
        <v>9.3850088034782537</v>
      </c>
      <c r="Y114" s="747">
        <v>3.601277611988368</v>
      </c>
      <c r="Z114" s="748">
        <v>-1.224188506196221</v>
      </c>
      <c r="AA114" s="746">
        <v>0.26658347195704474</v>
      </c>
      <c r="AB114" s="746">
        <v>0.40249911960440449</v>
      </c>
      <c r="AC114" s="746">
        <v>-0.78378771510097989</v>
      </c>
      <c r="AD114" s="746">
        <v>0.38542345446257087</v>
      </c>
      <c r="AE114" s="746">
        <v>-5.7737444281339182E-4</v>
      </c>
    </row>
    <row r="115" spans="1:31">
      <c r="A115" s="663" t="s">
        <v>832</v>
      </c>
      <c r="B115" s="733">
        <v>5386</v>
      </c>
      <c r="C115" s="733">
        <v>1</v>
      </c>
      <c r="E115" s="663" t="s">
        <v>832</v>
      </c>
      <c r="F115" s="675">
        <v>25</v>
      </c>
      <c r="G115" s="777"/>
      <c r="H115" s="676"/>
      <c r="I115" s="663" t="str">
        <f t="shared" si="16"/>
        <v>Total</v>
      </c>
      <c r="J115" s="733">
        <v>1938.4191967887</v>
      </c>
      <c r="K115" s="733">
        <v>1655.0837923698</v>
      </c>
      <c r="L115" s="733">
        <v>1172.5749616597</v>
      </c>
      <c r="M115" s="744">
        <v>620.92468894930005</v>
      </c>
      <c r="N115" s="733">
        <v>-109.78638806469998</v>
      </c>
      <c r="O115" s="733">
        <v>-51.849044331799973</v>
      </c>
      <c r="P115" s="733">
        <v>-60.181065056499989</v>
      </c>
      <c r="Q115" s="733">
        <v>391.03115177350003</v>
      </c>
      <c r="R115" s="733">
        <v>127.404730894</v>
      </c>
      <c r="S115" s="733">
        <v>-546.4316983384</v>
      </c>
      <c r="U115" s="663" t="str">
        <f t="shared" si="17"/>
        <v>Total</v>
      </c>
      <c r="V115" s="733">
        <v>41</v>
      </c>
      <c r="W115" s="733">
        <v>31</v>
      </c>
      <c r="X115" s="733">
        <v>21</v>
      </c>
      <c r="Y115" s="744">
        <v>10</v>
      </c>
      <c r="Z115" s="745">
        <v>-2</v>
      </c>
      <c r="AA115" s="733">
        <v>0</v>
      </c>
      <c r="AB115" s="733">
        <v>-1</v>
      </c>
      <c r="AC115" s="733">
        <v>6</v>
      </c>
      <c r="AD115" s="733">
        <v>2</v>
      </c>
      <c r="AE115" s="733">
        <v>-8</v>
      </c>
    </row>
    <row r="116" spans="1:31" ht="10.5">
      <c r="A116" s="671" t="s">
        <v>953</v>
      </c>
      <c r="B116" s="673">
        <v>27120.048899523201</v>
      </c>
      <c r="C116" s="673">
        <v>27187.763206063199</v>
      </c>
      <c r="E116" s="671" t="s">
        <v>953</v>
      </c>
      <c r="F116" s="672">
        <v>27120.048899523201</v>
      </c>
      <c r="G116" s="776"/>
      <c r="H116" s="676"/>
      <c r="I116" s="671" t="str">
        <f t="shared" si="16"/>
        <v>Operational closing balance</v>
      </c>
      <c r="J116" s="673">
        <v>6612.8335181790999</v>
      </c>
      <c r="K116" s="673">
        <v>7021.3303417853003</v>
      </c>
      <c r="L116" s="673">
        <v>6858.8238762299006</v>
      </c>
      <c r="M116" s="672">
        <v>6627.0611633288991</v>
      </c>
      <c r="N116" s="673">
        <v>6504.0473019096999</v>
      </c>
      <c r="O116" s="673">
        <v>6969.4806378891999</v>
      </c>
      <c r="P116" s="673">
        <v>6696.1429511618999</v>
      </c>
      <c r="Q116" s="673">
        <v>7018.0923151023999</v>
      </c>
      <c r="R116" s="673">
        <v>6631.5520328037001</v>
      </c>
      <c r="S116" s="673">
        <v>6422.5489395508002</v>
      </c>
      <c r="U116" s="671" t="str">
        <f t="shared" si="17"/>
        <v>Operational closing balance</v>
      </c>
      <c r="V116" s="673">
        <v>6612.8335181790999</v>
      </c>
      <c r="W116" s="673">
        <v>7021.3303417853003</v>
      </c>
      <c r="X116" s="673">
        <v>6858.8238762299006</v>
      </c>
      <c r="Y116" s="672">
        <v>6627.0611633288991</v>
      </c>
      <c r="Z116" s="674">
        <v>6504.0473019096999</v>
      </c>
      <c r="AA116" s="673">
        <v>6969.4806378891999</v>
      </c>
      <c r="AB116" s="673">
        <v>6696.1429511618999</v>
      </c>
      <c r="AC116" s="673">
        <v>7018.0923151023999</v>
      </c>
      <c r="AD116" s="673">
        <v>6631.5520328037001</v>
      </c>
      <c r="AE116" s="673">
        <v>6422.5489395508002</v>
      </c>
    </row>
    <row r="117" spans="1:31">
      <c r="A117" s="663" t="s">
        <v>979</v>
      </c>
      <c r="B117" s="677">
        <v>0</v>
      </c>
      <c r="C117" s="677">
        <v>0</v>
      </c>
      <c r="E117" s="663" t="s">
        <v>948</v>
      </c>
      <c r="F117" s="675">
        <v>0</v>
      </c>
      <c r="G117" s="777"/>
      <c r="H117" s="676"/>
      <c r="I117" s="663" t="s">
        <v>979</v>
      </c>
      <c r="J117" s="677">
        <v>0</v>
      </c>
      <c r="K117" s="677">
        <v>0</v>
      </c>
      <c r="L117" s="677">
        <v>0</v>
      </c>
      <c r="M117" s="678">
        <v>0</v>
      </c>
      <c r="N117" s="677">
        <v>0</v>
      </c>
      <c r="O117" s="677">
        <v>0</v>
      </c>
      <c r="P117" s="677">
        <v>0</v>
      </c>
      <c r="Q117" s="677">
        <v>0</v>
      </c>
      <c r="R117" s="677">
        <v>0</v>
      </c>
      <c r="S117" s="677">
        <v>0</v>
      </c>
      <c r="U117" s="663" t="s">
        <v>979</v>
      </c>
      <c r="V117" s="677">
        <v>0</v>
      </c>
      <c r="W117" s="677">
        <v>0</v>
      </c>
      <c r="X117" s="677">
        <v>0</v>
      </c>
      <c r="Y117" s="678">
        <v>0</v>
      </c>
      <c r="Z117" s="679">
        <v>0</v>
      </c>
      <c r="AA117" s="677">
        <v>0</v>
      </c>
      <c r="AB117" s="677">
        <v>0</v>
      </c>
      <c r="AC117" s="677">
        <v>0</v>
      </c>
      <c r="AD117" s="677">
        <v>0</v>
      </c>
      <c r="AE117" s="677">
        <v>0</v>
      </c>
    </row>
    <row r="118" spans="1:31" ht="10.5">
      <c r="A118" s="767" t="s">
        <v>954</v>
      </c>
      <c r="B118" s="732">
        <v>27120.048551742701</v>
      </c>
      <c r="C118" s="732">
        <v>27187.763206063199</v>
      </c>
      <c r="E118" s="767" t="s">
        <v>954</v>
      </c>
      <c r="F118" s="731">
        <v>27120.048551742701</v>
      </c>
      <c r="G118" s="776"/>
      <c r="H118" s="676"/>
      <c r="I118" s="767" t="str">
        <f>A118</f>
        <v>Reported closing balance</v>
      </c>
      <c r="J118" s="732">
        <v>6612.8336899743999</v>
      </c>
      <c r="K118" s="732">
        <v>7021.3296822209995</v>
      </c>
      <c r="L118" s="732">
        <v>6858.8240162184002</v>
      </c>
      <c r="M118" s="731">
        <v>6627.0611633289</v>
      </c>
      <c r="N118" s="732">
        <v>6504.0473019096999</v>
      </c>
      <c r="O118" s="732">
        <v>6969.4806378891999</v>
      </c>
      <c r="P118" s="732">
        <v>6696.1429511619008</v>
      </c>
      <c r="Q118" s="732">
        <v>7018.0923151023999</v>
      </c>
      <c r="R118" s="732">
        <v>6631.5520328037001</v>
      </c>
      <c r="S118" s="732">
        <v>6422.5489395508002</v>
      </c>
      <c r="U118" s="767" t="str">
        <f>E118</f>
        <v>Reported closing balance</v>
      </c>
      <c r="V118" s="732">
        <v>6612.8336899743999</v>
      </c>
      <c r="W118" s="732">
        <v>7021.3296822209995</v>
      </c>
      <c r="X118" s="732">
        <v>6858.8240162184002</v>
      </c>
      <c r="Y118" s="731">
        <v>6627.0611633289</v>
      </c>
      <c r="Z118" s="768">
        <v>6504.0473019096999</v>
      </c>
      <c r="AA118" s="732">
        <v>6969.4806378891999</v>
      </c>
      <c r="AB118" s="732">
        <v>6696.1429511619008</v>
      </c>
      <c r="AC118" s="732">
        <v>7018.0923151023999</v>
      </c>
      <c r="AD118" s="732">
        <v>6631.5520328037001</v>
      </c>
      <c r="AE118" s="732">
        <v>6422.5489395508002</v>
      </c>
    </row>
    <row r="119" spans="1:31">
      <c r="F119" s="772"/>
      <c r="H119" s="676"/>
      <c r="M119" s="772"/>
    </row>
    <row r="120" spans="1:31" ht="10.5">
      <c r="A120" s="689" t="s">
        <v>34</v>
      </c>
      <c r="B120" s="689"/>
      <c r="C120" s="689"/>
      <c r="E120" s="689" t="s">
        <v>34</v>
      </c>
      <c r="F120" s="690"/>
      <c r="G120" s="775"/>
      <c r="H120" s="676"/>
      <c r="I120" s="689" t="str">
        <f t="shared" ref="I120:I129" si="18">A120</f>
        <v xml:space="preserve">Revenues </v>
      </c>
      <c r="J120" s="689"/>
      <c r="K120" s="689"/>
      <c r="L120" s="689"/>
      <c r="M120" s="690"/>
      <c r="N120" s="689"/>
      <c r="O120" s="689"/>
      <c r="P120" s="689"/>
      <c r="Q120" s="689"/>
      <c r="R120" s="689"/>
      <c r="S120" s="689"/>
      <c r="U120" s="689" t="str">
        <f>E120</f>
        <v xml:space="preserve">Revenues </v>
      </c>
      <c r="V120" s="689"/>
      <c r="W120" s="689"/>
      <c r="X120" s="689"/>
      <c r="Y120" s="690"/>
      <c r="Z120" s="691"/>
      <c r="AA120" s="689"/>
      <c r="AB120" s="689"/>
      <c r="AC120" s="689"/>
      <c r="AD120" s="689"/>
      <c r="AE120" s="689"/>
    </row>
    <row r="121" spans="1:31" ht="10.5">
      <c r="A121" s="764" t="s">
        <v>71</v>
      </c>
      <c r="B121" s="764">
        <v>2023</v>
      </c>
      <c r="C121" s="764">
        <v>2024</v>
      </c>
      <c r="E121" s="764" t="s">
        <v>71</v>
      </c>
      <c r="F121" s="765">
        <v>2023</v>
      </c>
      <c r="G121" s="775"/>
      <c r="H121" s="676"/>
      <c r="I121" s="764" t="str">
        <f t="shared" si="18"/>
        <v>Tools &amp; Attachments</v>
      </c>
      <c r="J121" s="764" t="s">
        <v>803</v>
      </c>
      <c r="K121" s="764" t="s">
        <v>812</v>
      </c>
      <c r="L121" s="764" t="s">
        <v>816</v>
      </c>
      <c r="M121" s="765" t="s">
        <v>835</v>
      </c>
      <c r="N121" s="764" t="s">
        <v>872</v>
      </c>
      <c r="O121" s="764" t="s">
        <v>986</v>
      </c>
      <c r="P121" s="764" t="s">
        <v>1016</v>
      </c>
      <c r="Q121" s="764" t="s">
        <v>1039</v>
      </c>
      <c r="R121" s="764" t="s">
        <v>1076</v>
      </c>
      <c r="S121" s="764" t="s">
        <v>1285</v>
      </c>
      <c r="U121" s="764" t="str">
        <f>E121</f>
        <v>Tools &amp; Attachments</v>
      </c>
      <c r="V121" s="764" t="s">
        <v>803</v>
      </c>
      <c r="W121" s="764" t="s">
        <v>812</v>
      </c>
      <c r="X121" s="764" t="s">
        <v>816</v>
      </c>
      <c r="Y121" s="765" t="s">
        <v>835</v>
      </c>
      <c r="Z121" s="766" t="s">
        <v>872</v>
      </c>
      <c r="AA121" s="764" t="s">
        <v>986</v>
      </c>
      <c r="AB121" s="764" t="s">
        <v>1016</v>
      </c>
      <c r="AC121" s="764" t="s">
        <v>1039</v>
      </c>
      <c r="AD121" s="764" t="s">
        <v>1076</v>
      </c>
      <c r="AE121" s="764" t="s">
        <v>1285</v>
      </c>
    </row>
    <row r="122" spans="1:31" ht="10.5">
      <c r="A122" s="671" t="s">
        <v>947</v>
      </c>
      <c r="B122" s="673">
        <v>10805.786807709101</v>
      </c>
      <c r="C122" s="673">
        <v>12723.131843975299</v>
      </c>
      <c r="E122" s="671" t="s">
        <v>947</v>
      </c>
      <c r="F122" s="672">
        <v>10805.786807709101</v>
      </c>
      <c r="G122" s="776"/>
      <c r="H122" s="676"/>
      <c r="I122" s="671" t="str">
        <f t="shared" si="18"/>
        <v>Reported opening balance</v>
      </c>
      <c r="J122" s="673">
        <v>2587.5679193008</v>
      </c>
      <c r="K122" s="673">
        <v>2793.9343391415</v>
      </c>
      <c r="L122" s="673">
        <v>2711.2016151501998</v>
      </c>
      <c r="M122" s="672">
        <v>2713.0829341166</v>
      </c>
      <c r="N122" s="673">
        <v>3125.4963094281002</v>
      </c>
      <c r="O122" s="673">
        <v>3417.8026817412001</v>
      </c>
      <c r="P122" s="673">
        <v>3194.7805751239998</v>
      </c>
      <c r="Q122" s="673">
        <v>2985.0522776819998</v>
      </c>
      <c r="R122" s="673">
        <v>2948.8386474096001</v>
      </c>
      <c r="S122" s="673">
        <v>3991.2357640445998</v>
      </c>
      <c r="U122" s="671" t="str">
        <f>E122</f>
        <v>Reported opening balance</v>
      </c>
      <c r="V122" s="673">
        <v>2587.5679193008</v>
      </c>
      <c r="W122" s="673">
        <v>2793.9343391415</v>
      </c>
      <c r="X122" s="673">
        <v>2711.2016151501998</v>
      </c>
      <c r="Y122" s="672">
        <v>2713.0829341166</v>
      </c>
      <c r="Z122" s="674">
        <v>3125.4963094281002</v>
      </c>
      <c r="AA122" s="673">
        <v>3417.8026817412001</v>
      </c>
      <c r="AB122" s="673">
        <v>3194.7805751239998</v>
      </c>
      <c r="AC122" s="673">
        <v>2985.0522776819998</v>
      </c>
      <c r="AD122" s="673">
        <v>2948.8386474096001</v>
      </c>
      <c r="AE122" s="673">
        <v>3991.2357640445998</v>
      </c>
    </row>
    <row r="123" spans="1:31">
      <c r="A123" s="663" t="s">
        <v>979</v>
      </c>
      <c r="B123" s="677">
        <v>0</v>
      </c>
      <c r="C123" s="677">
        <v>0</v>
      </c>
      <c r="E123" s="663" t="s">
        <v>948</v>
      </c>
      <c r="F123" s="675">
        <v>0</v>
      </c>
      <c r="G123" s="777"/>
      <c r="H123" s="676"/>
      <c r="I123" s="663" t="str">
        <f t="shared" si="18"/>
        <v>Adjustment</v>
      </c>
      <c r="J123" s="677">
        <v>0</v>
      </c>
      <c r="K123" s="677">
        <v>0</v>
      </c>
      <c r="L123" s="677">
        <v>0</v>
      </c>
      <c r="M123" s="678">
        <v>0</v>
      </c>
      <c r="N123" s="677">
        <v>0</v>
      </c>
      <c r="O123" s="677">
        <v>0</v>
      </c>
      <c r="P123" s="677">
        <v>0</v>
      </c>
      <c r="Q123" s="677">
        <v>0</v>
      </c>
      <c r="R123" s="677">
        <v>0</v>
      </c>
      <c r="S123" s="677">
        <v>0</v>
      </c>
      <c r="U123" s="663" t="s">
        <v>979</v>
      </c>
      <c r="V123" s="677">
        <v>0</v>
      </c>
      <c r="W123" s="677">
        <v>0</v>
      </c>
      <c r="X123" s="677">
        <v>0</v>
      </c>
      <c r="Y123" s="678">
        <v>0</v>
      </c>
      <c r="Z123" s="679">
        <v>0</v>
      </c>
      <c r="AA123" s="677">
        <v>0</v>
      </c>
      <c r="AB123" s="677">
        <v>0</v>
      </c>
      <c r="AC123" s="677">
        <v>0</v>
      </c>
      <c r="AD123" s="677">
        <v>0</v>
      </c>
      <c r="AE123" s="677">
        <v>0</v>
      </c>
    </row>
    <row r="124" spans="1:31" ht="10.5">
      <c r="A124" s="671" t="s">
        <v>949</v>
      </c>
      <c r="B124" s="673">
        <v>10805.786807709101</v>
      </c>
      <c r="C124" s="673">
        <v>12723.131843975299</v>
      </c>
      <c r="E124" s="671" t="s">
        <v>949</v>
      </c>
      <c r="F124" s="672">
        <v>10805.786807709101</v>
      </c>
      <c r="G124" s="776"/>
      <c r="H124" s="676"/>
      <c r="I124" s="671" t="str">
        <f t="shared" si="18"/>
        <v>Adjusted opening balance</v>
      </c>
      <c r="J124" s="673">
        <v>2587.5679193008</v>
      </c>
      <c r="K124" s="673">
        <v>2793.9343391415</v>
      </c>
      <c r="L124" s="673">
        <v>2711.2016151501998</v>
      </c>
      <c r="M124" s="672">
        <v>2713.0829341166</v>
      </c>
      <c r="N124" s="673">
        <v>3125.4963094281002</v>
      </c>
      <c r="O124" s="673">
        <v>3417.8026817412001</v>
      </c>
      <c r="P124" s="673">
        <v>3194.7805751239998</v>
      </c>
      <c r="Q124" s="673">
        <v>2985.0522776819998</v>
      </c>
      <c r="R124" s="673">
        <v>2948.8386474096001</v>
      </c>
      <c r="S124" s="673">
        <v>3991.2357640445998</v>
      </c>
      <c r="U124" s="671" t="str">
        <f t="shared" ref="U124:U129" si="19">E124</f>
        <v>Adjusted opening balance</v>
      </c>
      <c r="V124" s="673">
        <v>2587.5679193008</v>
      </c>
      <c r="W124" s="673">
        <v>2793.9343391415</v>
      </c>
      <c r="X124" s="673">
        <v>2711.2016151501998</v>
      </c>
      <c r="Y124" s="672">
        <v>2713.0829341166</v>
      </c>
      <c r="Z124" s="674">
        <v>3125.4963094281002</v>
      </c>
      <c r="AA124" s="673">
        <v>3417.8026817412001</v>
      </c>
      <c r="AB124" s="673">
        <v>3194.7805751239998</v>
      </c>
      <c r="AC124" s="673">
        <v>2985.0522776819998</v>
      </c>
      <c r="AD124" s="673">
        <v>2948.8386474096001</v>
      </c>
      <c r="AE124" s="673">
        <v>3991.2357640445998</v>
      </c>
    </row>
    <row r="125" spans="1:31">
      <c r="A125" s="663" t="s">
        <v>950</v>
      </c>
      <c r="B125" s="733">
        <v>-69</v>
      </c>
      <c r="C125" s="733">
        <v>-6</v>
      </c>
      <c r="E125" s="663" t="s">
        <v>950</v>
      </c>
      <c r="F125" s="675">
        <v>0</v>
      </c>
      <c r="G125" s="777"/>
      <c r="H125" s="676"/>
      <c r="I125" s="663" t="str">
        <f t="shared" si="18"/>
        <v>Organic</v>
      </c>
      <c r="J125" s="733">
        <v>86.165282994899997</v>
      </c>
      <c r="K125" s="733">
        <v>-14.984892716899999</v>
      </c>
      <c r="L125" s="733">
        <v>-45.382403568999997</v>
      </c>
      <c r="M125" s="744">
        <v>-95.495681736799995</v>
      </c>
      <c r="N125" s="733">
        <v>-234</v>
      </c>
      <c r="O125" s="733">
        <v>-373.57249128220002</v>
      </c>
      <c r="P125" s="733">
        <v>-152.75394726779999</v>
      </c>
      <c r="Q125" s="733">
        <v>-23.355023150299999</v>
      </c>
      <c r="R125" s="733">
        <v>-89.414978686300003</v>
      </c>
      <c r="S125" s="733">
        <v>-66.931086063600006</v>
      </c>
      <c r="U125" s="663" t="str">
        <f t="shared" si="19"/>
        <v>Organic</v>
      </c>
      <c r="V125" s="733">
        <v>3</v>
      </c>
      <c r="W125" s="733">
        <v>0</v>
      </c>
      <c r="X125" s="733">
        <v>-2</v>
      </c>
      <c r="Y125" s="744">
        <v>-4</v>
      </c>
      <c r="Z125" s="745">
        <v>-8</v>
      </c>
      <c r="AA125" s="733">
        <v>-10</v>
      </c>
      <c r="AB125" s="733">
        <v>-5</v>
      </c>
      <c r="AC125" s="733">
        <v>-1</v>
      </c>
      <c r="AD125" s="733">
        <v>-3</v>
      </c>
      <c r="AE125" s="733">
        <v>-2</v>
      </c>
    </row>
    <row r="126" spans="1:31">
      <c r="A126" s="663" t="s">
        <v>951</v>
      </c>
      <c r="B126" s="733">
        <v>235.73808701370001</v>
      </c>
      <c r="C126" s="733">
        <v>-1.2039404326909797</v>
      </c>
      <c r="E126" s="663" t="s">
        <v>951</v>
      </c>
      <c r="F126" s="675">
        <v>2.1815911345346826</v>
      </c>
      <c r="G126" s="777"/>
      <c r="H126" s="676"/>
      <c r="I126" s="663" t="str">
        <f t="shared" si="18"/>
        <v>Currency</v>
      </c>
      <c r="J126" s="733">
        <v>146.63982718170001</v>
      </c>
      <c r="K126" s="733">
        <v>97.625840191600005</v>
      </c>
      <c r="L126" s="733">
        <v>26.091797919200001</v>
      </c>
      <c r="M126" s="744">
        <v>-34.619378278799999</v>
      </c>
      <c r="N126" s="733">
        <v>-70.877295332399996</v>
      </c>
      <c r="O126" s="733">
        <v>-19.978801356799998</v>
      </c>
      <c r="P126" s="733">
        <v>-102.7699101118</v>
      </c>
      <c r="Q126" s="733">
        <v>40.447078226800002</v>
      </c>
      <c r="R126" s="733">
        <v>-7.6855830999999999E-2</v>
      </c>
      <c r="S126" s="733">
        <v>-331.95290564620001</v>
      </c>
      <c r="U126" s="663" t="str">
        <f t="shared" si="19"/>
        <v>Currency</v>
      </c>
      <c r="V126" s="733">
        <v>5.6670909423442035</v>
      </c>
      <c r="W126" s="733">
        <v>3.4942066756514318</v>
      </c>
      <c r="X126" s="733">
        <v>0.9623702558083097</v>
      </c>
      <c r="Y126" s="744">
        <v>-1.2760162191677464</v>
      </c>
      <c r="Z126" s="745">
        <v>-2.2677132946405254</v>
      </c>
      <c r="AA126" s="733">
        <v>-0.58455104689138448</v>
      </c>
      <c r="AB126" s="733">
        <v>-3.2168065284987897</v>
      </c>
      <c r="AC126" s="733">
        <v>1.3549872653556543</v>
      </c>
      <c r="AD126" s="733">
        <v>-2.6063084552799729E-3</v>
      </c>
      <c r="AE126" s="733">
        <v>-8.3170457790699093</v>
      </c>
    </row>
    <row r="127" spans="1:31">
      <c r="A127" s="680" t="s">
        <v>952</v>
      </c>
      <c r="B127" s="746">
        <v>1750.3046442802001</v>
      </c>
      <c r="C127" s="746">
        <v>22.439904081225386</v>
      </c>
      <c r="E127" s="680" t="s">
        <v>952</v>
      </c>
      <c r="F127" s="681">
        <v>16.197845426965966</v>
      </c>
      <c r="G127" s="777"/>
      <c r="H127" s="676"/>
      <c r="I127" s="680" t="str">
        <f t="shared" si="18"/>
        <v>Structure</v>
      </c>
      <c r="J127" s="746">
        <v>304.12327995070001</v>
      </c>
      <c r="K127" s="746">
        <v>541.2273951249</v>
      </c>
      <c r="L127" s="746">
        <v>502.8695656237</v>
      </c>
      <c r="M127" s="747">
        <v>402.08440358090002</v>
      </c>
      <c r="N127" s="746">
        <v>128.76333595649999</v>
      </c>
      <c r="O127" s="746">
        <v>966.9843749424</v>
      </c>
      <c r="P127" s="746">
        <v>870.09713870209998</v>
      </c>
      <c r="Q127" s="746">
        <v>889.21373231489997</v>
      </c>
      <c r="R127" s="746">
        <v>951.55612403650002</v>
      </c>
      <c r="S127" s="746">
        <v>72.647590079799997</v>
      </c>
      <c r="U127" s="680" t="str">
        <f t="shared" si="19"/>
        <v>Structure</v>
      </c>
      <c r="V127" s="746">
        <v>11.753248201998066</v>
      </c>
      <c r="W127" s="746">
        <v>19.371514482019091</v>
      </c>
      <c r="X127" s="746">
        <v>18.547848408383349</v>
      </c>
      <c r="Y127" s="747">
        <v>14.82020319116495</v>
      </c>
      <c r="Z127" s="748">
        <v>4.1197724523968793</v>
      </c>
      <c r="AA127" s="746">
        <v>28.292574644764734</v>
      </c>
      <c r="AB127" s="746">
        <v>27.23495771437538</v>
      </c>
      <c r="AC127" s="746">
        <v>29.788883061217486</v>
      </c>
      <c r="AD127" s="746">
        <v>32.26884335880473</v>
      </c>
      <c r="AE127" s="746">
        <v>1.8201778690763455</v>
      </c>
    </row>
    <row r="128" spans="1:31">
      <c r="A128" s="663" t="s">
        <v>832</v>
      </c>
      <c r="B128" s="733">
        <v>1917</v>
      </c>
      <c r="C128" s="733">
        <v>15</v>
      </c>
      <c r="E128" s="663" t="s">
        <v>832</v>
      </c>
      <c r="F128" s="675">
        <v>18</v>
      </c>
      <c r="G128" s="777"/>
      <c r="H128" s="676"/>
      <c r="I128" s="663" t="str">
        <f t="shared" si="18"/>
        <v>Total</v>
      </c>
      <c r="J128" s="733">
        <v>536.92839012729996</v>
      </c>
      <c r="K128" s="733">
        <v>623.86834259960006</v>
      </c>
      <c r="L128" s="733">
        <v>483.5789599739</v>
      </c>
      <c r="M128" s="744">
        <v>271.96934356530005</v>
      </c>
      <c r="N128" s="733">
        <v>-176</v>
      </c>
      <c r="O128" s="733">
        <v>573.43308230339994</v>
      </c>
      <c r="P128" s="733">
        <v>614.57328132249995</v>
      </c>
      <c r="Q128" s="733">
        <v>906.30578739139992</v>
      </c>
      <c r="R128" s="733">
        <v>862.06428951919997</v>
      </c>
      <c r="S128" s="733">
        <v>-326.23640162999999</v>
      </c>
      <c r="U128" s="663" t="str">
        <f t="shared" si="19"/>
        <v>Total</v>
      </c>
      <c r="V128" s="733">
        <v>21</v>
      </c>
      <c r="W128" s="733">
        <v>22</v>
      </c>
      <c r="X128" s="733">
        <v>18</v>
      </c>
      <c r="Y128" s="744">
        <v>10</v>
      </c>
      <c r="Z128" s="745">
        <v>-6</v>
      </c>
      <c r="AA128" s="733">
        <v>17</v>
      </c>
      <c r="AB128" s="733">
        <v>19</v>
      </c>
      <c r="AC128" s="733">
        <v>30</v>
      </c>
      <c r="AD128" s="733">
        <v>29</v>
      </c>
      <c r="AE128" s="733">
        <v>-8</v>
      </c>
    </row>
    <row r="129" spans="1:34" ht="10.5">
      <c r="A129" s="671" t="s">
        <v>953</v>
      </c>
      <c r="B129" s="673">
        <v>12723.131843975199</v>
      </c>
      <c r="C129" s="673">
        <v>14640.786332974099</v>
      </c>
      <c r="E129" s="671" t="s">
        <v>953</v>
      </c>
      <c r="F129" s="672">
        <v>12723.131843975199</v>
      </c>
      <c r="G129" s="776"/>
      <c r="H129" s="676"/>
      <c r="I129" s="671" t="str">
        <f t="shared" si="18"/>
        <v>Operational closing balance</v>
      </c>
      <c r="J129" s="673">
        <v>3125.4963094281002</v>
      </c>
      <c r="K129" s="673">
        <v>3417.8026817411001</v>
      </c>
      <c r="L129" s="673">
        <v>3194.7805751240999</v>
      </c>
      <c r="M129" s="672">
        <v>2985.0522776818998</v>
      </c>
      <c r="N129" s="673">
        <v>2948.8386474096001</v>
      </c>
      <c r="O129" s="673">
        <v>3991.2357640445998</v>
      </c>
      <c r="P129" s="673">
        <v>3809.3538564464998</v>
      </c>
      <c r="Q129" s="673">
        <v>3891.3580650733998</v>
      </c>
      <c r="R129" s="673">
        <v>3810.9029369288</v>
      </c>
      <c r="S129" s="673">
        <v>3664.9993624146</v>
      </c>
      <c r="U129" s="671" t="str">
        <f t="shared" si="19"/>
        <v>Operational closing balance</v>
      </c>
      <c r="V129" s="673">
        <v>3125.4963094281002</v>
      </c>
      <c r="W129" s="673">
        <v>3417.8026817411001</v>
      </c>
      <c r="X129" s="673">
        <v>3194.7805751240999</v>
      </c>
      <c r="Y129" s="672">
        <v>2985.0522776818998</v>
      </c>
      <c r="Z129" s="674">
        <v>2948.8386474096001</v>
      </c>
      <c r="AA129" s="673">
        <v>3991.2357640445998</v>
      </c>
      <c r="AB129" s="673">
        <v>3809.3538564464998</v>
      </c>
      <c r="AC129" s="673">
        <v>3891.3580650733998</v>
      </c>
      <c r="AD129" s="673">
        <v>3810.9029369288</v>
      </c>
      <c r="AE129" s="673">
        <v>3664.9993624146</v>
      </c>
    </row>
    <row r="130" spans="1:34">
      <c r="A130" s="663" t="s">
        <v>979</v>
      </c>
      <c r="B130" s="677">
        <v>0</v>
      </c>
      <c r="C130" s="677">
        <v>0</v>
      </c>
      <c r="E130" s="663" t="s">
        <v>948</v>
      </c>
      <c r="F130" s="675">
        <v>0</v>
      </c>
      <c r="G130" s="777"/>
      <c r="H130" s="676"/>
      <c r="I130" s="663" t="s">
        <v>979</v>
      </c>
      <c r="J130" s="677">
        <v>0</v>
      </c>
      <c r="K130" s="677">
        <v>0</v>
      </c>
      <c r="L130" s="677">
        <v>0</v>
      </c>
      <c r="M130" s="678">
        <v>0</v>
      </c>
      <c r="N130" s="677">
        <v>0</v>
      </c>
      <c r="O130" s="677">
        <v>0</v>
      </c>
      <c r="P130" s="677">
        <v>0</v>
      </c>
      <c r="Q130" s="677">
        <v>0</v>
      </c>
      <c r="R130" s="677">
        <v>0</v>
      </c>
      <c r="S130" s="677">
        <v>0</v>
      </c>
      <c r="U130" s="663" t="s">
        <v>979</v>
      </c>
      <c r="V130" s="677">
        <v>0</v>
      </c>
      <c r="W130" s="677">
        <v>0</v>
      </c>
      <c r="X130" s="677">
        <v>0</v>
      </c>
      <c r="Y130" s="678">
        <v>0</v>
      </c>
      <c r="Z130" s="679">
        <v>0</v>
      </c>
      <c r="AA130" s="677">
        <v>0</v>
      </c>
      <c r="AB130" s="677">
        <v>0</v>
      </c>
      <c r="AC130" s="677">
        <v>0</v>
      </c>
      <c r="AD130" s="677">
        <v>0</v>
      </c>
      <c r="AE130" s="677">
        <v>0</v>
      </c>
    </row>
    <row r="131" spans="1:34" ht="10.5">
      <c r="A131" s="767" t="s">
        <v>954</v>
      </c>
      <c r="B131" s="732">
        <v>12723.131843975199</v>
      </c>
      <c r="C131" s="732">
        <v>14640.786332974099</v>
      </c>
      <c r="E131" s="767" t="s">
        <v>954</v>
      </c>
      <c r="F131" s="731">
        <v>12723.131843975199</v>
      </c>
      <c r="G131" s="776"/>
      <c r="H131" s="676"/>
      <c r="I131" s="767" t="str">
        <f>A131</f>
        <v>Reported closing balance</v>
      </c>
      <c r="J131" s="732">
        <v>3125.4963094281002</v>
      </c>
      <c r="K131" s="732">
        <v>3417.8026817411001</v>
      </c>
      <c r="L131" s="732">
        <v>3194.7805751240999</v>
      </c>
      <c r="M131" s="731">
        <v>2985.0522776818998</v>
      </c>
      <c r="N131" s="732">
        <v>2948.8386474096001</v>
      </c>
      <c r="O131" s="732">
        <v>3991.2357640445998</v>
      </c>
      <c r="P131" s="732">
        <v>3809.3538564464998</v>
      </c>
      <c r="Q131" s="732">
        <v>3891.3580650734002</v>
      </c>
      <c r="R131" s="732">
        <v>3810.9029369288</v>
      </c>
      <c r="S131" s="732">
        <v>3664.9993624146</v>
      </c>
      <c r="U131" s="767" t="str">
        <f>E131</f>
        <v>Reported closing balance</v>
      </c>
      <c r="V131" s="732">
        <v>3125.4963094281002</v>
      </c>
      <c r="W131" s="732">
        <v>3417.8026817411001</v>
      </c>
      <c r="X131" s="732">
        <v>3194.7805751240999</v>
      </c>
      <c r="Y131" s="731">
        <v>2985.0522776818998</v>
      </c>
      <c r="Z131" s="768">
        <v>2948.8386474096001</v>
      </c>
      <c r="AA131" s="732">
        <v>3991.2357640445998</v>
      </c>
      <c r="AB131" s="732">
        <v>3809.3538564464998</v>
      </c>
      <c r="AC131" s="732">
        <v>3891.3580650734002</v>
      </c>
      <c r="AD131" s="732">
        <v>3810.9029369288</v>
      </c>
      <c r="AE131" s="732">
        <v>3664.9993624146</v>
      </c>
    </row>
    <row r="132" spans="1:34" ht="10.5" customHeight="1">
      <c r="F132" s="772"/>
      <c r="H132" s="676"/>
      <c r="M132" s="772"/>
      <c r="AH132" s="824"/>
    </row>
    <row r="133" spans="1:34" ht="14.5">
      <c r="A133" s="692" t="s">
        <v>6</v>
      </c>
      <c r="B133" s="692"/>
      <c r="C133" s="692"/>
      <c r="E133" s="692" t="s">
        <v>6</v>
      </c>
      <c r="F133" s="693"/>
      <c r="G133" s="775"/>
      <c r="H133" s="676"/>
      <c r="I133" s="692" t="str">
        <f t="shared" ref="I133:I144" si="20">A133</f>
        <v>Operating profit</v>
      </c>
      <c r="J133" s="692"/>
      <c r="K133" s="692"/>
      <c r="L133" s="692"/>
      <c r="M133" s="693"/>
      <c r="N133" s="692"/>
      <c r="O133" s="692"/>
      <c r="P133" s="692"/>
      <c r="Q133" s="692"/>
      <c r="R133" s="692"/>
      <c r="S133" s="692"/>
      <c r="U133" s="692" t="str">
        <f t="shared" ref="U133:U144" si="21">E133</f>
        <v>Operating profit</v>
      </c>
      <c r="V133" s="692"/>
      <c r="W133" s="692"/>
      <c r="X133" s="692"/>
      <c r="Y133" s="693"/>
      <c r="Z133" s="694"/>
      <c r="AA133" s="692"/>
      <c r="AB133" s="692"/>
      <c r="AC133" s="692"/>
      <c r="AD133" s="692"/>
      <c r="AE133" s="692"/>
      <c r="AH133" s="824"/>
    </row>
    <row r="134" spans="1:34" ht="14.5">
      <c r="A134" s="764" t="s">
        <v>35</v>
      </c>
      <c r="B134" s="764">
        <v>2023</v>
      </c>
      <c r="C134" s="764">
        <v>2024</v>
      </c>
      <c r="E134" s="764" t="s">
        <v>35</v>
      </c>
      <c r="F134" s="765">
        <v>2023</v>
      </c>
      <c r="G134" s="775"/>
      <c r="H134" s="676"/>
      <c r="I134" s="764" t="str">
        <f t="shared" si="20"/>
        <v>Epiroc Group</v>
      </c>
      <c r="J134" s="764" t="s">
        <v>803</v>
      </c>
      <c r="K134" s="764" t="s">
        <v>812</v>
      </c>
      <c r="L134" s="764" t="s">
        <v>816</v>
      </c>
      <c r="M134" s="765" t="s">
        <v>835</v>
      </c>
      <c r="N134" s="764" t="s">
        <v>872</v>
      </c>
      <c r="O134" s="764" t="s">
        <v>986</v>
      </c>
      <c r="P134" s="764" t="s">
        <v>1016</v>
      </c>
      <c r="Q134" s="764" t="s">
        <v>1039</v>
      </c>
      <c r="R134" s="764" t="s">
        <v>1076</v>
      </c>
      <c r="S134" s="764" t="s">
        <v>1285</v>
      </c>
      <c r="U134" s="764" t="str">
        <f t="shared" si="21"/>
        <v>Epiroc Group</v>
      </c>
      <c r="V134" s="764" t="s">
        <v>803</v>
      </c>
      <c r="W134" s="764" t="s">
        <v>812</v>
      </c>
      <c r="X134" s="764" t="s">
        <v>816</v>
      </c>
      <c r="Y134" s="765" t="s">
        <v>835</v>
      </c>
      <c r="Z134" s="766" t="s">
        <v>872</v>
      </c>
      <c r="AA134" s="764" t="s">
        <v>986</v>
      </c>
      <c r="AB134" s="764" t="s">
        <v>1016</v>
      </c>
      <c r="AC134" s="764" t="s">
        <v>1039</v>
      </c>
      <c r="AD134" s="764" t="s">
        <v>1076</v>
      </c>
      <c r="AE134" s="764" t="s">
        <v>1285</v>
      </c>
      <c r="AH134" s="824"/>
    </row>
    <row r="135" spans="1:34" ht="14.5">
      <c r="A135" s="671" t="s">
        <v>947</v>
      </c>
      <c r="B135" s="673">
        <v>11146.9612224087</v>
      </c>
      <c r="C135" s="673">
        <v>13182.824691603399</v>
      </c>
      <c r="E135" s="671" t="s">
        <v>947</v>
      </c>
      <c r="F135" s="672">
        <v>11146.9612224087</v>
      </c>
      <c r="G135" s="776"/>
      <c r="H135" s="676"/>
      <c r="I135" s="671" t="str">
        <f t="shared" si="20"/>
        <v>Reported opening balance</v>
      </c>
      <c r="J135" s="673">
        <v>2631.1792427419</v>
      </c>
      <c r="K135" s="673">
        <v>2380.7958624020998</v>
      </c>
      <c r="L135" s="673">
        <v>2899.9799321402002</v>
      </c>
      <c r="M135" s="672">
        <v>3235.0061851245</v>
      </c>
      <c r="N135" s="673">
        <v>3161.4946645324999</v>
      </c>
      <c r="O135" s="673">
        <v>3412.7008393647998</v>
      </c>
      <c r="P135" s="673">
        <v>3260.0402711436</v>
      </c>
      <c r="Q135" s="673">
        <v>3348.5889165624999</v>
      </c>
      <c r="R135" s="673">
        <v>2760.2532162946</v>
      </c>
      <c r="S135" s="673">
        <v>2921.1358278078001</v>
      </c>
      <c r="U135" s="671" t="str">
        <f t="shared" si="21"/>
        <v>Reported opening balance</v>
      </c>
      <c r="V135" s="673">
        <v>2631.1792427419</v>
      </c>
      <c r="W135" s="673">
        <v>2380.7958624020998</v>
      </c>
      <c r="X135" s="673">
        <v>2899.9799321402002</v>
      </c>
      <c r="Y135" s="672">
        <v>3235.0061851245</v>
      </c>
      <c r="Z135" s="674">
        <v>3161.4946645324999</v>
      </c>
      <c r="AA135" s="673">
        <v>3412.7008393647998</v>
      </c>
      <c r="AB135" s="673">
        <v>3260.0402711436</v>
      </c>
      <c r="AC135" s="673">
        <v>3348.5889165624999</v>
      </c>
      <c r="AD135" s="673">
        <v>2760.2532162946</v>
      </c>
      <c r="AE135" s="673">
        <v>2921.1358278078001</v>
      </c>
      <c r="AG135" s="824"/>
      <c r="AH135" s="824"/>
    </row>
    <row r="136" spans="1:34" ht="14.5">
      <c r="A136" s="663" t="s">
        <v>948</v>
      </c>
      <c r="B136" s="737">
        <v>608</v>
      </c>
      <c r="C136" s="682">
        <v>-1.0937431115579602E-3</v>
      </c>
      <c r="E136" s="663" t="s">
        <v>948</v>
      </c>
      <c r="F136" s="713">
        <v>1.2234800623889739E-2</v>
      </c>
      <c r="G136" s="780"/>
      <c r="H136" s="676"/>
      <c r="I136" s="663" t="str">
        <f t="shared" si="20"/>
        <v>Adjustment IAC</v>
      </c>
      <c r="J136" s="737">
        <v>-43</v>
      </c>
      <c r="K136" s="737">
        <v>420</v>
      </c>
      <c r="L136" s="737">
        <v>164</v>
      </c>
      <c r="M136" s="738">
        <v>67</v>
      </c>
      <c r="N136" s="737">
        <v>26</v>
      </c>
      <c r="O136" s="737">
        <v>16</v>
      </c>
      <c r="P136" s="737">
        <v>12</v>
      </c>
      <c r="Q136" s="737">
        <v>-120</v>
      </c>
      <c r="R136" s="737">
        <v>127.1</v>
      </c>
      <c r="S136" s="737">
        <v>325.10000000000002</v>
      </c>
      <c r="U136" s="663" t="str">
        <f t="shared" si="21"/>
        <v>Adjustment IAC</v>
      </c>
      <c r="V136" s="682">
        <v>-3.8779277085649278E-3</v>
      </c>
      <c r="W136" s="682">
        <v>3.5389969574965506E-2</v>
      </c>
      <c r="X136" s="682">
        <v>1.2810654980605587E-2</v>
      </c>
      <c r="Y136" s="683">
        <v>4.8075879143424979E-3</v>
      </c>
      <c r="Z136" s="684">
        <v>1.8748760869694522E-3</v>
      </c>
      <c r="AA136" s="682">
        <v>1.005661051036693E-3</v>
      </c>
      <c r="AB136" s="682">
        <v>8.0015637986364369E-4</v>
      </c>
      <c r="AC136" s="682">
        <v>-7.7082912570458021E-3</v>
      </c>
      <c r="AD136" s="682">
        <v>8.986886843491089E-3</v>
      </c>
      <c r="AE136" s="682">
        <v>1.9690194794907481E-2</v>
      </c>
      <c r="AG136" s="824"/>
      <c r="AH136" s="824"/>
    </row>
    <row r="137" spans="1:34" ht="14.5">
      <c r="A137" s="671" t="s">
        <v>949</v>
      </c>
      <c r="B137" s="673">
        <v>11754.9612224087</v>
      </c>
      <c r="C137" s="673">
        <v>13116.824691603399</v>
      </c>
      <c r="E137" s="671" t="s">
        <v>949</v>
      </c>
      <c r="F137" s="672">
        <v>11754.9612224087</v>
      </c>
      <c r="G137" s="776"/>
      <c r="H137" s="676"/>
      <c r="I137" s="671" t="str">
        <f t="shared" si="20"/>
        <v>Adjusted opening balance</v>
      </c>
      <c r="J137" s="673">
        <v>2588.1792427419</v>
      </c>
      <c r="K137" s="673">
        <v>2800.7958624020998</v>
      </c>
      <c r="L137" s="673">
        <v>3063.9799321402002</v>
      </c>
      <c r="M137" s="672">
        <v>3302.0061851245</v>
      </c>
      <c r="N137" s="673">
        <v>3187.4946645324999</v>
      </c>
      <c r="O137" s="673">
        <v>3428.7008393647998</v>
      </c>
      <c r="P137" s="673">
        <v>3272.0402711436</v>
      </c>
      <c r="Q137" s="673">
        <v>3228.5889165624999</v>
      </c>
      <c r="R137" s="673">
        <v>2887.3532162945999</v>
      </c>
      <c r="S137" s="673">
        <v>3246.2358278078</v>
      </c>
      <c r="U137" s="671" t="str">
        <f t="shared" si="21"/>
        <v>Adjusted opening balance</v>
      </c>
      <c r="V137" s="673">
        <v>2588.1792427419</v>
      </c>
      <c r="W137" s="673">
        <v>2800.7958624020998</v>
      </c>
      <c r="X137" s="673">
        <v>3063.9799321402002</v>
      </c>
      <c r="Y137" s="672">
        <v>3302.0061851245</v>
      </c>
      <c r="Z137" s="674">
        <v>3187.4946645324999</v>
      </c>
      <c r="AA137" s="673">
        <v>3428.7008393647998</v>
      </c>
      <c r="AB137" s="673">
        <v>3272.0402711436</v>
      </c>
      <c r="AC137" s="673">
        <v>3228.5889165624999</v>
      </c>
      <c r="AD137" s="673">
        <v>2887.3532162945999</v>
      </c>
      <c r="AE137" s="673">
        <v>3246.2358278078</v>
      </c>
      <c r="AG137" s="824"/>
      <c r="AH137" s="824"/>
    </row>
    <row r="138" spans="1:34" ht="14.5">
      <c r="A138" s="663" t="s">
        <v>950</v>
      </c>
      <c r="B138" s="737">
        <v>394.4397764176</v>
      </c>
      <c r="C138" s="682">
        <v>-1.9847928149546362E-2</v>
      </c>
      <c r="E138" s="663" t="s">
        <v>950</v>
      </c>
      <c r="F138" s="713">
        <v>-1.2067458389318836E-2</v>
      </c>
      <c r="G138" s="780"/>
      <c r="H138" s="676"/>
      <c r="I138" s="663" t="str">
        <f t="shared" si="20"/>
        <v>Organic</v>
      </c>
      <c r="J138" s="737">
        <v>321.33101647730001</v>
      </c>
      <c r="K138" s="737">
        <v>695.28635133880005</v>
      </c>
      <c r="L138" s="737">
        <v>-172.8638032689</v>
      </c>
      <c r="M138" s="738">
        <v>-449.31378812960003</v>
      </c>
      <c r="N138" s="737">
        <v>-362</v>
      </c>
      <c r="O138" s="737">
        <v>-630.63308106800002</v>
      </c>
      <c r="P138" s="737">
        <v>-130.03192564460002</v>
      </c>
      <c r="Q138" s="737">
        <v>136.78820656089999</v>
      </c>
      <c r="R138" s="737">
        <v>-97</v>
      </c>
      <c r="S138" s="737">
        <v>-3.5167453102000001</v>
      </c>
      <c r="U138" s="663" t="str">
        <f t="shared" si="21"/>
        <v>Organic</v>
      </c>
      <c r="V138" s="682">
        <v>7.0309415747142421E-3</v>
      </c>
      <c r="W138" s="682">
        <v>1.4106774348267277E-2</v>
      </c>
      <c r="X138" s="682">
        <v>-2.4692554037496952E-2</v>
      </c>
      <c r="Y138" s="683">
        <v>-4.363801825583527E-2</v>
      </c>
      <c r="Z138" s="684">
        <v>-3.2783071558413666E-2</v>
      </c>
      <c r="AA138" s="682">
        <v>-3.5280751364306889E-2</v>
      </c>
      <c r="AB138" s="682">
        <v>-6.6877547700783593E-4</v>
      </c>
      <c r="AC138" s="682">
        <v>-1.2302372411341495E-4</v>
      </c>
      <c r="AD138" s="682">
        <v>-1.2046939214313254E-2</v>
      </c>
      <c r="AE138" s="682">
        <v>-1.2217928127941939E-3</v>
      </c>
      <c r="AG138" s="824"/>
      <c r="AH138" s="824"/>
    </row>
    <row r="139" spans="1:34" ht="14.5">
      <c r="A139" s="663" t="s">
        <v>951</v>
      </c>
      <c r="B139" s="737">
        <v>530.09652675270002</v>
      </c>
      <c r="C139" s="682">
        <v>1.0573685015900725E-2</v>
      </c>
      <c r="E139" s="663" t="s">
        <v>951</v>
      </c>
      <c r="F139" s="713">
        <v>3.0067165834333411E-3</v>
      </c>
      <c r="G139" s="780"/>
      <c r="H139" s="676"/>
      <c r="I139" s="663" t="str">
        <f t="shared" si="20"/>
        <v>Currency</v>
      </c>
      <c r="J139" s="737">
        <v>204.990792809</v>
      </c>
      <c r="K139" s="737">
        <v>-242.78152914910001</v>
      </c>
      <c r="L139" s="737">
        <v>253.733037905</v>
      </c>
      <c r="M139" s="738">
        <v>314.15422518780002</v>
      </c>
      <c r="N139" s="737">
        <v>49.477742361200001</v>
      </c>
      <c r="O139" s="737">
        <v>392.6790066236</v>
      </c>
      <c r="P139" s="737">
        <v>-53.227047228899998</v>
      </c>
      <c r="Q139" s="737">
        <v>56.8921837344</v>
      </c>
      <c r="R139" s="737">
        <v>268.25713554020001</v>
      </c>
      <c r="S139" s="737">
        <v>-246.2696620959</v>
      </c>
      <c r="U139" s="663" t="str">
        <f t="shared" si="21"/>
        <v>Currency</v>
      </c>
      <c r="V139" s="682">
        <v>2.0532173969126885E-3</v>
      </c>
      <c r="W139" s="682">
        <v>-2.4330048839667405E-2</v>
      </c>
      <c r="X139" s="682">
        <v>1.3939479774155165E-2</v>
      </c>
      <c r="Y139" s="683">
        <v>2.1274923875928272E-2</v>
      </c>
      <c r="Z139" s="684">
        <v>9.8821555767401991E-3</v>
      </c>
      <c r="AA139" s="682">
        <v>2.589001331698525E-2</v>
      </c>
      <c r="AB139" s="682">
        <v>4.7040141356165452E-3</v>
      </c>
      <c r="AC139" s="682">
        <v>2.1711629273005531E-3</v>
      </c>
      <c r="AD139" s="682">
        <v>1.7502950884709139E-2</v>
      </c>
      <c r="AE139" s="682">
        <v>2.6004073725504687E-3</v>
      </c>
      <c r="AG139" s="824"/>
      <c r="AH139" s="824"/>
    </row>
    <row r="140" spans="1:34" ht="14.5">
      <c r="A140" s="680" t="s">
        <v>952</v>
      </c>
      <c r="B140" s="742">
        <v>436.72716602449992</v>
      </c>
      <c r="C140" s="685">
        <v>-9.6042568011753555E-3</v>
      </c>
      <c r="E140" s="680" t="s">
        <v>952</v>
      </c>
      <c r="F140" s="714">
        <v>-1.0126949061260425E-2</v>
      </c>
      <c r="G140" s="780"/>
      <c r="H140" s="676"/>
      <c r="I140" s="680" t="str">
        <f t="shared" si="20"/>
        <v>Structure</v>
      </c>
      <c r="J140" s="742">
        <v>72.593612503499998</v>
      </c>
      <c r="K140" s="742">
        <v>175.60026829759994</v>
      </c>
      <c r="L140" s="742">
        <v>126.79110525370004</v>
      </c>
      <c r="M140" s="743">
        <v>61.742179969699976</v>
      </c>
      <c r="N140" s="742">
        <v>13.399771887199989</v>
      </c>
      <c r="O140" s="742">
        <v>55.489062886099987</v>
      </c>
      <c r="P140" s="742">
        <v>-3.2693340572000125</v>
      </c>
      <c r="Q140" s="742">
        <v>-16.378407625200008</v>
      </c>
      <c r="R140" s="742">
        <v>41</v>
      </c>
      <c r="S140" s="742">
        <v>-12.236639865100045</v>
      </c>
      <c r="U140" s="680" t="str">
        <f t="shared" si="21"/>
        <v>Structure</v>
      </c>
      <c r="V140" s="685">
        <v>-1.2674093091792269E-2</v>
      </c>
      <c r="W140" s="685">
        <v>-1.0320262136867922E-2</v>
      </c>
      <c r="X140" s="685">
        <v>-1.0433901441566366E-2</v>
      </c>
      <c r="Y140" s="686">
        <v>-7.1896389322367582E-3</v>
      </c>
      <c r="Z140" s="687">
        <v>-2.7945959870134761E-3</v>
      </c>
      <c r="AA140" s="685">
        <v>-9.5027942274475818E-3</v>
      </c>
      <c r="AB140" s="685">
        <v>-1.2729324304132001E-2</v>
      </c>
      <c r="AC140" s="685">
        <v>-1.2009614616139086E-2</v>
      </c>
      <c r="AD140" s="685">
        <v>-1.0159708927420543E-2</v>
      </c>
      <c r="AE140" s="685">
        <v>-1.75230868687568E-3</v>
      </c>
      <c r="AG140" s="824"/>
      <c r="AH140" s="824"/>
    </row>
    <row r="141" spans="1:34" ht="14.5">
      <c r="A141" s="663" t="s">
        <v>832</v>
      </c>
      <c r="B141" s="737">
        <f>SUM(B138:B140)</f>
        <v>1361.2634691947999</v>
      </c>
      <c r="C141" s="682">
        <v>-1.8878499934820991E-2</v>
      </c>
      <c r="E141" s="663" t="s">
        <v>832</v>
      </c>
      <c r="F141" s="713">
        <v>-1.9187690867145918E-2</v>
      </c>
      <c r="G141" s="780"/>
      <c r="H141" s="676"/>
      <c r="I141" s="663" t="str">
        <f t="shared" si="20"/>
        <v>Total</v>
      </c>
      <c r="J141" s="737">
        <v>598.91542178980001</v>
      </c>
      <c r="K141" s="737">
        <v>627.90509048729996</v>
      </c>
      <c r="L141" s="737">
        <v>207.66033988980004</v>
      </c>
      <c r="M141" s="738">
        <v>-73.417382972100029</v>
      </c>
      <c r="N141" s="737">
        <v>-300.14144823800007</v>
      </c>
      <c r="O141" s="737">
        <v>-182.46501155830003</v>
      </c>
      <c r="P141" s="737">
        <v>-186.52830693070004</v>
      </c>
      <c r="Q141" s="737">
        <v>177.30198267009999</v>
      </c>
      <c r="R141" s="737">
        <v>212</v>
      </c>
      <c r="S141" s="737">
        <v>-262.02304727120008</v>
      </c>
      <c r="U141" s="663" t="str">
        <f t="shared" si="21"/>
        <v>Total</v>
      </c>
      <c r="V141" s="682">
        <v>-3.589934120165339E-3</v>
      </c>
      <c r="W141" s="682">
        <v>-2.0493253575716242E-2</v>
      </c>
      <c r="X141" s="682">
        <v>-2.1186975704908156E-2</v>
      </c>
      <c r="Y141" s="683">
        <v>-2.9552733312143753E-2</v>
      </c>
      <c r="Z141" s="684">
        <v>-2.569551196868694E-2</v>
      </c>
      <c r="AA141" s="682">
        <v>-1.8893532274769226E-2</v>
      </c>
      <c r="AB141" s="682">
        <v>-8.6940856455232918E-3</v>
      </c>
      <c r="AC141" s="682">
        <v>-9.9614754129519478E-3</v>
      </c>
      <c r="AD141" s="682">
        <v>-4.7036972570246582E-3</v>
      </c>
      <c r="AE141" s="682">
        <v>-3.7369412711940522E-4</v>
      </c>
      <c r="AG141" s="824"/>
      <c r="AH141" s="824"/>
    </row>
    <row r="142" spans="1:34" ht="14.5">
      <c r="A142" s="671" t="s">
        <v>953</v>
      </c>
      <c r="B142" s="673">
        <v>13117</v>
      </c>
      <c r="C142" s="673">
        <v>12624.7919075465</v>
      </c>
      <c r="E142" s="671" t="s">
        <v>953</v>
      </c>
      <c r="F142" s="672">
        <v>13117</v>
      </c>
      <c r="G142" s="776"/>
      <c r="H142" s="676"/>
      <c r="I142" s="671" t="str">
        <f t="shared" si="20"/>
        <v>Operational closing balance</v>
      </c>
      <c r="J142" s="673">
        <v>3187.0946645316999</v>
      </c>
      <c r="K142" s="673">
        <v>3428.7009528893996</v>
      </c>
      <c r="L142" s="673">
        <v>3271.6402720300002</v>
      </c>
      <c r="M142" s="672">
        <v>3228.5888021524001</v>
      </c>
      <c r="N142" s="673">
        <v>2887.3532162944998</v>
      </c>
      <c r="O142" s="673">
        <v>3246.2358278064999</v>
      </c>
      <c r="P142" s="673">
        <v>3085.5119642128998</v>
      </c>
      <c r="Q142" s="673">
        <v>3405.8908992326001</v>
      </c>
      <c r="R142" s="673">
        <v>3098.7230712768996</v>
      </c>
      <c r="S142" s="673">
        <v>2984.2127805365999</v>
      </c>
      <c r="U142" s="671" t="str">
        <f t="shared" si="21"/>
        <v>Operational closing balance</v>
      </c>
      <c r="V142" s="673">
        <v>3187.0946645316999</v>
      </c>
      <c r="W142" s="673">
        <v>3428.7009528893996</v>
      </c>
      <c r="X142" s="673">
        <v>3271.6402720300002</v>
      </c>
      <c r="Y142" s="672">
        <v>3228.5888021524001</v>
      </c>
      <c r="Z142" s="674">
        <v>2887.3532162944998</v>
      </c>
      <c r="AA142" s="673">
        <v>3246.2358278064999</v>
      </c>
      <c r="AB142" s="673">
        <v>3085.3119642129</v>
      </c>
      <c r="AC142" s="673">
        <v>3405.8908992326001</v>
      </c>
      <c r="AD142" s="673">
        <v>3098.7230712768996</v>
      </c>
      <c r="AE142" s="673">
        <v>2984.2127805365999</v>
      </c>
      <c r="AG142" s="824"/>
    </row>
    <row r="143" spans="1:34" ht="14.5">
      <c r="A143" s="663" t="s">
        <v>948</v>
      </c>
      <c r="B143" s="737">
        <v>66</v>
      </c>
      <c r="C143" s="682">
        <v>-3.7655095656352893E-3</v>
      </c>
      <c r="E143" s="663" t="s">
        <v>948</v>
      </c>
      <c r="F143" s="713">
        <v>1.0937503617514403E-3</v>
      </c>
      <c r="G143" s="780"/>
      <c r="H143" s="676"/>
      <c r="I143" s="663" t="str">
        <f t="shared" si="20"/>
        <v>Adjustment IAC</v>
      </c>
      <c r="J143" s="737">
        <v>-26</v>
      </c>
      <c r="K143" s="737">
        <v>-16</v>
      </c>
      <c r="L143" s="737">
        <v>-12</v>
      </c>
      <c r="M143" s="738">
        <v>120</v>
      </c>
      <c r="N143" s="737">
        <v>-127.1</v>
      </c>
      <c r="O143" s="737">
        <v>-325.10000000000002</v>
      </c>
      <c r="P143" s="737">
        <v>191</v>
      </c>
      <c r="Q143" s="737">
        <v>21.7</v>
      </c>
      <c r="R143" s="737">
        <v>-11.173999999999999</v>
      </c>
      <c r="S143" s="737">
        <v>-152.6</v>
      </c>
      <c r="U143" s="663" t="str">
        <f t="shared" si="21"/>
        <v>Adjustment IAC</v>
      </c>
      <c r="V143" s="682">
        <v>-1.8748760869694522E-3</v>
      </c>
      <c r="W143" s="682">
        <v>-1.0056610510366993E-3</v>
      </c>
      <c r="X143" s="682">
        <v>-8.0015637986363295E-4</v>
      </c>
      <c r="Y143" s="683">
        <v>7.7079941797251758E-3</v>
      </c>
      <c r="Z143" s="684">
        <v>-8.9868868434911531E-3</v>
      </c>
      <c r="AA143" s="682">
        <v>-1.9690194794907603E-2</v>
      </c>
      <c r="AB143" s="682">
        <v>1.2165729002723537E-2</v>
      </c>
      <c r="AC143" s="682">
        <v>1.257884608165249E-3</v>
      </c>
      <c r="AD143" s="682">
        <v>-7.192278260557697E-4</v>
      </c>
      <c r="AE143" s="682">
        <v>-1.0086002934816252E-2</v>
      </c>
      <c r="AG143" s="824"/>
    </row>
    <row r="144" spans="1:34" ht="14.5">
      <c r="A144" s="767" t="s">
        <v>954</v>
      </c>
      <c r="B144" s="732">
        <v>13182.8246916035</v>
      </c>
      <c r="C144" s="732">
        <v>12385.2919075465</v>
      </c>
      <c r="E144" s="767" t="s">
        <v>954</v>
      </c>
      <c r="F144" s="731">
        <v>13182.8246916035</v>
      </c>
      <c r="G144" s="776"/>
      <c r="H144" s="676"/>
      <c r="I144" s="767" t="str">
        <f t="shared" si="20"/>
        <v>Reported closing balance</v>
      </c>
      <c r="J144" s="732">
        <v>3161.4946645317</v>
      </c>
      <c r="K144" s="732">
        <v>3412.7009528894</v>
      </c>
      <c r="L144" s="732">
        <v>3260.0402720299999</v>
      </c>
      <c r="M144" s="731">
        <v>3348.5888021524001</v>
      </c>
      <c r="N144" s="732">
        <v>2760.2532162944999</v>
      </c>
      <c r="O144" s="732">
        <v>2921.1358278064999</v>
      </c>
      <c r="P144" s="732">
        <v>3277.3119642129</v>
      </c>
      <c r="Q144" s="732">
        <v>3427.5908992325999</v>
      </c>
      <c r="R144" s="732">
        <v>3087.5490712769001</v>
      </c>
      <c r="S144" s="732">
        <v>2830.6127805366</v>
      </c>
      <c r="U144" s="767" t="str">
        <f t="shared" si="21"/>
        <v>Reported closing balance</v>
      </c>
      <c r="V144" s="732">
        <v>3161.4946645317</v>
      </c>
      <c r="W144" s="732">
        <v>3412.7009528894</v>
      </c>
      <c r="X144" s="732">
        <v>3260.0402720299999</v>
      </c>
      <c r="Y144" s="731">
        <v>3348.5888021524001</v>
      </c>
      <c r="Z144" s="768">
        <v>2760.2532162944999</v>
      </c>
      <c r="AA144" s="732">
        <v>2921.1358278064999</v>
      </c>
      <c r="AB144" s="732">
        <v>3276.3119642129</v>
      </c>
      <c r="AC144" s="732">
        <v>3427.5908992325999</v>
      </c>
      <c r="AD144" s="732">
        <v>3087.5490712769001</v>
      </c>
      <c r="AE144" s="732">
        <v>2830.6127805366</v>
      </c>
      <c r="AG144" s="824"/>
    </row>
    <row r="145" spans="1:31">
      <c r="F145" s="772"/>
      <c r="H145" s="676"/>
      <c r="M145" s="772"/>
    </row>
    <row r="146" spans="1:31" ht="10.5">
      <c r="A146" s="769" t="s">
        <v>951</v>
      </c>
      <c r="B146" s="771">
        <v>530.09652675270002</v>
      </c>
      <c r="F146" s="772"/>
      <c r="H146" s="676"/>
      <c r="I146" s="769" t="str">
        <f>A146</f>
        <v>Currency</v>
      </c>
      <c r="J146" s="771">
        <v>204.990792809</v>
      </c>
      <c r="K146" s="771">
        <v>-242.78152914910001</v>
      </c>
      <c r="L146" s="771">
        <v>253.73303790499997</v>
      </c>
      <c r="M146" s="770">
        <v>314.15422518780002</v>
      </c>
      <c r="N146" s="771">
        <v>49.477742361200001</v>
      </c>
      <c r="O146" s="771">
        <v>392.6790066236</v>
      </c>
      <c r="P146" s="771">
        <v>-53.227047228900005</v>
      </c>
      <c r="Q146" s="771">
        <v>56.892183734399964</v>
      </c>
      <c r="R146" s="771">
        <v>268.25713554020001</v>
      </c>
      <c r="S146" s="771">
        <v>-246.2696620959</v>
      </c>
    </row>
    <row r="147" spans="1:31" s="688" customFormat="1">
      <c r="A147" s="695" t="s">
        <v>955</v>
      </c>
      <c r="B147" s="697">
        <v>844.91843250570003</v>
      </c>
      <c r="D147" s="663"/>
      <c r="F147" s="782"/>
      <c r="G147" s="781"/>
      <c r="H147" s="676"/>
      <c r="I147" s="695" t="str">
        <f>A147</f>
        <v>of which translation</v>
      </c>
      <c r="J147" s="697">
        <v>267.743647662</v>
      </c>
      <c r="K147" s="697">
        <v>33.513242707800003</v>
      </c>
      <c r="L147" s="697">
        <v>401.84492321509998</v>
      </c>
      <c r="M147" s="696">
        <v>143.81661892080001</v>
      </c>
      <c r="N147" s="697">
        <v>-156.14056118139999</v>
      </c>
      <c r="O147" s="697">
        <v>254.63613257899999</v>
      </c>
      <c r="P147" s="697">
        <v>-100.26691766170001</v>
      </c>
      <c r="Q147" s="697">
        <v>-451.52245214560003</v>
      </c>
      <c r="R147" s="697">
        <v>516.30921949319998</v>
      </c>
      <c r="S147" s="697">
        <v>-91.953771991599993</v>
      </c>
      <c r="T147" s="663"/>
    </row>
    <row r="148" spans="1:31" s="688" customFormat="1">
      <c r="A148" s="695" t="s">
        <v>956</v>
      </c>
      <c r="B148" s="697">
        <v>-314.82190575299995</v>
      </c>
      <c r="D148" s="663"/>
      <c r="F148" s="782"/>
      <c r="G148" s="781"/>
      <c r="H148" s="676"/>
      <c r="I148" s="695" t="str">
        <f>A148</f>
        <v>of which transaction</v>
      </c>
      <c r="J148" s="697">
        <v>-62.752854853000002</v>
      </c>
      <c r="K148" s="697">
        <v>-277.29477185690001</v>
      </c>
      <c r="L148" s="697">
        <v>-148.11188531010001</v>
      </c>
      <c r="M148" s="696">
        <v>170.33760626700001</v>
      </c>
      <c r="N148" s="697">
        <v>205</v>
      </c>
      <c r="O148" s="697">
        <v>138.04287404460001</v>
      </c>
      <c r="P148" s="697">
        <v>47.039870432800001</v>
      </c>
      <c r="Q148" s="697">
        <v>508.41463587999999</v>
      </c>
      <c r="R148" s="697">
        <v>-248.05208395299999</v>
      </c>
      <c r="S148" s="697">
        <v>-154.3158901043</v>
      </c>
      <c r="T148" s="663"/>
    </row>
    <row r="149" spans="1:31">
      <c r="F149" s="772"/>
      <c r="H149" s="676"/>
      <c r="M149" s="772"/>
    </row>
    <row r="150" spans="1:31" ht="10.5">
      <c r="A150" s="692" t="s">
        <v>6</v>
      </c>
      <c r="B150" s="692"/>
      <c r="C150" s="692"/>
      <c r="E150" s="692" t="s">
        <v>6</v>
      </c>
      <c r="F150" s="693"/>
      <c r="G150" s="775"/>
      <c r="H150" s="676"/>
      <c r="I150" s="692" t="str">
        <f t="shared" ref="I150:I161" si="22">A150</f>
        <v>Operating profit</v>
      </c>
      <c r="J150" s="692"/>
      <c r="K150" s="692"/>
      <c r="L150" s="692"/>
      <c r="M150" s="693"/>
      <c r="N150" s="692"/>
      <c r="O150" s="692"/>
      <c r="P150" s="692"/>
      <c r="Q150" s="692"/>
      <c r="R150" s="692"/>
      <c r="S150" s="692"/>
      <c r="U150" s="692" t="str">
        <f t="shared" ref="U150:U161" si="23">E150</f>
        <v>Operating profit</v>
      </c>
      <c r="V150" s="692"/>
      <c r="W150" s="692"/>
      <c r="X150" s="692"/>
      <c r="Y150" s="693"/>
      <c r="Z150" s="694"/>
      <c r="AA150" s="692"/>
      <c r="AB150" s="692"/>
      <c r="AC150" s="692"/>
      <c r="AD150" s="692"/>
      <c r="AE150" s="692"/>
    </row>
    <row r="151" spans="1:31" ht="10.5">
      <c r="A151" s="764" t="s">
        <v>70</v>
      </c>
      <c r="B151" s="764">
        <v>2023</v>
      </c>
      <c r="C151" s="764">
        <v>2024</v>
      </c>
      <c r="E151" s="764" t="s">
        <v>70</v>
      </c>
      <c r="F151" s="765">
        <v>2023</v>
      </c>
      <c r="G151" s="775"/>
      <c r="H151" s="676"/>
      <c r="I151" s="764" t="str">
        <f t="shared" si="22"/>
        <v>Equipment &amp; Services</v>
      </c>
      <c r="J151" s="764" t="s">
        <v>803</v>
      </c>
      <c r="K151" s="764" t="s">
        <v>812</v>
      </c>
      <c r="L151" s="764" t="s">
        <v>816</v>
      </c>
      <c r="M151" s="765" t="s">
        <v>835</v>
      </c>
      <c r="N151" s="764" t="s">
        <v>872</v>
      </c>
      <c r="O151" s="764" t="s">
        <v>986</v>
      </c>
      <c r="P151" s="764" t="s">
        <v>1016</v>
      </c>
      <c r="Q151" s="764" t="s">
        <v>1039</v>
      </c>
      <c r="R151" s="764" t="s">
        <v>1076</v>
      </c>
      <c r="S151" s="764" t="s">
        <v>1285</v>
      </c>
      <c r="U151" s="764" t="str">
        <f t="shared" si="23"/>
        <v>Equipment &amp; Services</v>
      </c>
      <c r="V151" s="764" t="s">
        <v>803</v>
      </c>
      <c r="W151" s="764" t="s">
        <v>812</v>
      </c>
      <c r="X151" s="764" t="s">
        <v>816</v>
      </c>
      <c r="Y151" s="765" t="s">
        <v>835</v>
      </c>
      <c r="Z151" s="766" t="s">
        <v>872</v>
      </c>
      <c r="AA151" s="764" t="s">
        <v>986</v>
      </c>
      <c r="AB151" s="764" t="s">
        <v>1016</v>
      </c>
      <c r="AC151" s="764" t="s">
        <v>1039</v>
      </c>
      <c r="AD151" s="764" t="s">
        <v>1076</v>
      </c>
      <c r="AE151" s="764" t="s">
        <v>1285</v>
      </c>
    </row>
    <row r="152" spans="1:31" ht="10.5">
      <c r="A152" s="671" t="s">
        <v>947</v>
      </c>
      <c r="B152" s="673">
        <v>9491</v>
      </c>
      <c r="C152" s="673">
        <v>11790.602364836101</v>
      </c>
      <c r="E152" s="671" t="s">
        <v>947</v>
      </c>
      <c r="F152" s="672">
        <v>9491</v>
      </c>
      <c r="G152" s="776"/>
      <c r="H152" s="676"/>
      <c r="I152" s="671" t="str">
        <f t="shared" si="22"/>
        <v>Reported opening balance</v>
      </c>
      <c r="J152" s="673">
        <v>2188.3146530745998</v>
      </c>
      <c r="K152" s="673">
        <v>1954.9106386141</v>
      </c>
      <c r="L152" s="673">
        <v>2474.4195921902001</v>
      </c>
      <c r="M152" s="672">
        <v>2873.8614655842998</v>
      </c>
      <c r="N152" s="673">
        <v>2717.7185640002999</v>
      </c>
      <c r="O152" s="673">
        <v>2995.0726880968</v>
      </c>
      <c r="P152" s="673">
        <v>2867.8915204700002</v>
      </c>
      <c r="Q152" s="673">
        <v>3210.7543447920002</v>
      </c>
      <c r="R152" s="673">
        <v>2502.9210640535998</v>
      </c>
      <c r="S152" s="673">
        <v>2762.8398705186</v>
      </c>
      <c r="U152" s="671" t="str">
        <f t="shared" si="23"/>
        <v>Reported opening balance</v>
      </c>
      <c r="V152" s="673">
        <v>2188.3146530745998</v>
      </c>
      <c r="W152" s="673">
        <v>1954.9106386141</v>
      </c>
      <c r="X152" s="673">
        <v>2474.4195921902001</v>
      </c>
      <c r="Y152" s="672">
        <v>2873.8614655842998</v>
      </c>
      <c r="Z152" s="674">
        <v>2717.7185640002999</v>
      </c>
      <c r="AA152" s="673">
        <v>2995.0726880968</v>
      </c>
      <c r="AB152" s="673">
        <v>2866.8915204700002</v>
      </c>
      <c r="AC152" s="673">
        <v>3210.7543447920002</v>
      </c>
      <c r="AD152" s="673">
        <f>2502.9210640536</f>
        <v>2502.9210640535998</v>
      </c>
      <c r="AE152" s="673">
        <v>2762.8398705186</v>
      </c>
    </row>
    <row r="153" spans="1:31">
      <c r="A153" s="663" t="s">
        <v>948</v>
      </c>
      <c r="B153" s="737">
        <v>560</v>
      </c>
      <c r="C153" s="682">
        <v>-6.0382620873050494E-3</v>
      </c>
      <c r="E153" s="663" t="s">
        <v>948</v>
      </c>
      <c r="F153" s="713">
        <v>1.4394532651031688E-2</v>
      </c>
      <c r="G153" s="780"/>
      <c r="H153" s="676"/>
      <c r="I153" s="663" t="str">
        <f t="shared" si="22"/>
        <v>Adjustment IAC</v>
      </c>
      <c r="J153" s="737">
        <v>0</v>
      </c>
      <c r="K153" s="737">
        <v>422</v>
      </c>
      <c r="L153" s="737">
        <v>138</v>
      </c>
      <c r="M153" s="738">
        <v>0</v>
      </c>
      <c r="N153" s="737">
        <v>0</v>
      </c>
      <c r="O153" s="737">
        <v>0</v>
      </c>
      <c r="P153" s="737">
        <v>-7</v>
      </c>
      <c r="Q153" s="737">
        <v>-280</v>
      </c>
      <c r="R153" s="737">
        <v>0</v>
      </c>
      <c r="S153" s="737">
        <v>141.81</v>
      </c>
      <c r="T153" s="737"/>
      <c r="U153" s="663" t="str">
        <f t="shared" si="23"/>
        <v>Adjustment IAC</v>
      </c>
      <c r="V153" s="682">
        <v>0</v>
      </c>
      <c r="W153" s="682">
        <v>4.6578465517494831E-2</v>
      </c>
      <c r="X153" s="682">
        <v>1.3704501364591899E-2</v>
      </c>
      <c r="Y153" s="683">
        <v>0</v>
      </c>
      <c r="Z153" s="684">
        <v>0</v>
      </c>
      <c r="AA153" s="682">
        <v>0</v>
      </c>
      <c r="AB153" s="682">
        <v>-5.9679991131373733E-4</v>
      </c>
      <c r="AC153" s="682">
        <v>-2.2296744936977281E-2</v>
      </c>
      <c r="AD153" s="682">
        <v>0</v>
      </c>
      <c r="AE153" s="682">
        <v>1.1273996703292741E-2</v>
      </c>
    </row>
    <row r="154" spans="1:31" ht="10.5">
      <c r="A154" s="671" t="s">
        <v>949</v>
      </c>
      <c r="B154" s="673">
        <v>10051</v>
      </c>
      <c r="C154" s="673">
        <v>11503.602364836101</v>
      </c>
      <c r="E154" s="671" t="s">
        <v>949</v>
      </c>
      <c r="F154" s="672">
        <v>10051</v>
      </c>
      <c r="G154" s="776"/>
      <c r="H154" s="676"/>
      <c r="I154" s="671" t="str">
        <f t="shared" si="22"/>
        <v>Adjusted opening balance</v>
      </c>
      <c r="J154" s="673">
        <v>2188.3146530745998</v>
      </c>
      <c r="K154" s="673">
        <v>2376.9106386141002</v>
      </c>
      <c r="L154" s="673">
        <v>2612.4195921902001</v>
      </c>
      <c r="M154" s="672">
        <v>2873.8614655842998</v>
      </c>
      <c r="N154" s="673">
        <v>2717.7185640002999</v>
      </c>
      <c r="O154" s="673">
        <v>2995.0726880968</v>
      </c>
      <c r="P154" s="673">
        <v>2860.8915204700002</v>
      </c>
      <c r="Q154" s="673">
        <v>2930.7543447920002</v>
      </c>
      <c r="R154" s="673">
        <v>2502.9210640535998</v>
      </c>
      <c r="S154" s="673">
        <v>2904.6398705186002</v>
      </c>
      <c r="T154" s="737"/>
      <c r="U154" s="671" t="str">
        <f t="shared" si="23"/>
        <v>Adjusted opening balance</v>
      </c>
      <c r="V154" s="673">
        <v>2188.3146530745998</v>
      </c>
      <c r="W154" s="673">
        <v>2376.9106386141002</v>
      </c>
      <c r="X154" s="673">
        <v>2612.4195921902001</v>
      </c>
      <c r="Y154" s="672">
        <v>2873.8614655842998</v>
      </c>
      <c r="Z154" s="674">
        <v>2717.7185640002999</v>
      </c>
      <c r="AA154" s="673">
        <v>2995.0726880968</v>
      </c>
      <c r="AB154" s="673">
        <v>2859.8915204700002</v>
      </c>
      <c r="AC154" s="673">
        <v>2930.7543447920002</v>
      </c>
      <c r="AD154" s="673">
        <f>2502.9210640536</f>
        <v>2502.9210640535998</v>
      </c>
      <c r="AE154" s="673">
        <v>2904.6398705186002</v>
      </c>
    </row>
    <row r="155" spans="1:31">
      <c r="A155" s="663" t="s">
        <v>950</v>
      </c>
      <c r="B155" s="737">
        <v>788.49995592679988</v>
      </c>
      <c r="C155" s="682">
        <v>-2.5072024240270052E-2</v>
      </c>
      <c r="E155" s="663" t="s">
        <v>950</v>
      </c>
      <c r="F155" s="713">
        <v>-8.9190984746422113E-3</v>
      </c>
      <c r="G155" s="780"/>
      <c r="H155" s="676"/>
      <c r="I155" s="663" t="str">
        <f t="shared" si="22"/>
        <v>Organic</v>
      </c>
      <c r="J155" s="737">
        <v>302.92298092940001</v>
      </c>
      <c r="K155" s="737">
        <v>734.38571453819998</v>
      </c>
      <c r="L155" s="737">
        <v>7.4498953192999995</v>
      </c>
      <c r="M155" s="738">
        <v>-256.25863486010002</v>
      </c>
      <c r="N155" s="737">
        <v>-273</v>
      </c>
      <c r="O155" s="737">
        <v>-440.20773906710002</v>
      </c>
      <c r="P155" s="737">
        <v>-137.05957749250001</v>
      </c>
      <c r="Q155" s="737">
        <v>125.86896479399999</v>
      </c>
      <c r="R155" s="737">
        <v>15.529210604299999</v>
      </c>
      <c r="S155" s="737">
        <v>-55.595021463800002</v>
      </c>
      <c r="U155" s="663" t="str">
        <f t="shared" si="23"/>
        <v>Organic</v>
      </c>
      <c r="V155" s="682">
        <v>7.099021749764239E-3</v>
      </c>
      <c r="W155" s="682">
        <v>1.6029402700462339E-2</v>
      </c>
      <c r="X155" s="682">
        <v>-1.7566687270267833E-2</v>
      </c>
      <c r="Y155" s="683">
        <v>-4.0184007162975204E-2</v>
      </c>
      <c r="Z155" s="684">
        <v>-4.0125934071297886E-2</v>
      </c>
      <c r="AA155" s="682">
        <v>-3.7674723988010902E-2</v>
      </c>
      <c r="AB155" s="682">
        <v>-6.6844552529510166E-3</v>
      </c>
      <c r="AC155" s="682">
        <v>-2.2733615568974689E-3</v>
      </c>
      <c r="AD155" s="682">
        <v>-8.0911572111738283E-3</v>
      </c>
      <c r="AE155" s="682">
        <v>-5.5819227157229701E-3</v>
      </c>
    </row>
    <row r="156" spans="1:31">
      <c r="A156" s="663" t="s">
        <v>951</v>
      </c>
      <c r="B156" s="737">
        <v>450.06143431370003</v>
      </c>
      <c r="C156" s="682">
        <v>1.3276446960648601E-2</v>
      </c>
      <c r="E156" s="663" t="s">
        <v>951</v>
      </c>
      <c r="F156" s="713">
        <v>2.7637126574095545E-3</v>
      </c>
      <c r="G156" s="780"/>
      <c r="H156" s="676"/>
      <c r="I156" s="663" t="str">
        <f t="shared" si="22"/>
        <v>Currency</v>
      </c>
      <c r="J156" s="737">
        <v>165</v>
      </c>
      <c r="K156" s="737">
        <v>-198.69543488119999</v>
      </c>
      <c r="L156" s="737">
        <v>193.5567584803</v>
      </c>
      <c r="M156" s="738">
        <v>290.64828018679998</v>
      </c>
      <c r="N156" s="737">
        <v>58.909050984300002</v>
      </c>
      <c r="O156" s="737">
        <v>338.17772439340001</v>
      </c>
      <c r="P156" s="737">
        <v>-18.485287893999999</v>
      </c>
      <c r="Q156" s="737">
        <v>56.093102130799998</v>
      </c>
      <c r="R156" s="737">
        <v>202.62132979520001</v>
      </c>
      <c r="S156" s="737">
        <v>-210.1131844654</v>
      </c>
      <c r="U156" s="663" t="str">
        <f t="shared" si="23"/>
        <v>Currency</v>
      </c>
      <c r="V156" s="682">
        <v>7.2509729754223864E-4</v>
      </c>
      <c r="W156" s="682">
        <v>-2.6747427463048597E-2</v>
      </c>
      <c r="X156" s="682">
        <v>1.3026770747538914E-2</v>
      </c>
      <c r="Y156" s="683">
        <v>2.3905880978030748E-2</v>
      </c>
      <c r="Z156" s="684">
        <v>1.2551894211637406E-2</v>
      </c>
      <c r="AA156" s="682">
        <v>2.9731001710539485E-2</v>
      </c>
      <c r="AB156" s="682">
        <v>8.3027486960693866E-3</v>
      </c>
      <c r="AC156" s="682">
        <v>3.2833483474875727E-3</v>
      </c>
      <c r="AD156" s="682">
        <v>1.7658883249833692E-2</v>
      </c>
      <c r="AE156" s="682">
        <v>4.3357920489492507E-3</v>
      </c>
    </row>
    <row r="157" spans="1:31">
      <c r="A157" s="680" t="s">
        <v>952</v>
      </c>
      <c r="B157" s="742">
        <v>215.44777700280005</v>
      </c>
      <c r="C157" s="685">
        <v>2.3677731862530354E-6</v>
      </c>
      <c r="E157" s="680" t="s">
        <v>952</v>
      </c>
      <c r="F157" s="714">
        <v>-1.0149679481664425E-2</v>
      </c>
      <c r="G157" s="780"/>
      <c r="H157" s="676"/>
      <c r="I157" s="680" t="str">
        <f t="shared" si="22"/>
        <v>Structure</v>
      </c>
      <c r="J157" s="742">
        <v>62</v>
      </c>
      <c r="K157" s="742">
        <v>83.036309634199995</v>
      </c>
      <c r="L157" s="742">
        <v>48.48921752710001</v>
      </c>
      <c r="M157" s="743">
        <v>22.342286164000029</v>
      </c>
      <c r="N157" s="742">
        <v>-1.0864622346999999</v>
      </c>
      <c r="O157" s="742">
        <v>12.2971970941</v>
      </c>
      <c r="P157" s="742">
        <v>9.1859797275999995</v>
      </c>
      <c r="Q157" s="742">
        <v>23.701558388399974</v>
      </c>
      <c r="R157" s="742">
        <v>3.2475806445000002</v>
      </c>
      <c r="S157" s="742">
        <v>-13.249580641700007</v>
      </c>
      <c r="T157" s="737"/>
      <c r="U157" s="680" t="str">
        <f t="shared" si="23"/>
        <v>Structure</v>
      </c>
      <c r="V157" s="685">
        <v>-1.2526724781975274E-2</v>
      </c>
      <c r="W157" s="685">
        <v>-1.2378407759267136E-2</v>
      </c>
      <c r="X157" s="685">
        <v>-1.0915214770697427E-2</v>
      </c>
      <c r="Y157" s="686">
        <v>-4.9294081910392319E-3</v>
      </c>
      <c r="Z157" s="687">
        <v>-2.3887441415791095E-3</v>
      </c>
      <c r="AA157" s="685">
        <v>6.2789187620643401E-4</v>
      </c>
      <c r="AB157" s="685">
        <v>1.3902458826730956E-4</v>
      </c>
      <c r="AC157" s="685">
        <v>1.2406751839723971E-3</v>
      </c>
      <c r="AD157" s="685">
        <v>-2.0103122136229257E-4</v>
      </c>
      <c r="AE157" s="685">
        <v>-1.1578949669976534E-3</v>
      </c>
    </row>
    <row r="158" spans="1:31">
      <c r="A158" s="663" t="s">
        <v>832</v>
      </c>
      <c r="B158" s="737">
        <v>1454.0091672433</v>
      </c>
      <c r="C158" s="682">
        <v>-1.1793209506435198E-2</v>
      </c>
      <c r="E158" s="663" t="s">
        <v>832</v>
      </c>
      <c r="F158" s="713">
        <v>-1.6305065298897081E-2</v>
      </c>
      <c r="G158" s="780"/>
      <c r="H158" s="676"/>
      <c r="I158" s="663" t="str">
        <f t="shared" si="22"/>
        <v>Total</v>
      </c>
      <c r="J158" s="737">
        <v>529.80391092460002</v>
      </c>
      <c r="K158" s="737">
        <v>617.72658929120007</v>
      </c>
      <c r="L158" s="737">
        <v>249.24442322589999</v>
      </c>
      <c r="M158" s="738">
        <v>57.069147379500066</v>
      </c>
      <c r="N158" s="737">
        <v>-214.61110874610003</v>
      </c>
      <c r="O158" s="737">
        <v>-89.73281757960001</v>
      </c>
      <c r="P158" s="737">
        <v>-146.35888565890002</v>
      </c>
      <c r="Q158" s="737">
        <v>205.66362531319996</v>
      </c>
      <c r="R158" s="737">
        <v>221.39812104399999</v>
      </c>
      <c r="S158" s="737">
        <v>-278.85778657089998</v>
      </c>
      <c r="U158" s="663" t="str">
        <f t="shared" si="23"/>
        <v>Total</v>
      </c>
      <c r="V158" s="682">
        <v>-4.6573793594469892E-3</v>
      </c>
      <c r="W158" s="682">
        <v>-2.2943672860306796E-2</v>
      </c>
      <c r="X158" s="682">
        <v>-1.5490956307785964E-2</v>
      </c>
      <c r="Y158" s="683">
        <v>-2.1179240827892326E-2</v>
      </c>
      <c r="Z158" s="684">
        <v>-2.9962784001239584E-2</v>
      </c>
      <c r="AA158" s="682">
        <v>-7.3158304012649888E-3</v>
      </c>
      <c r="AB158" s="682">
        <v>1.7573180313856795E-3</v>
      </c>
      <c r="AC158" s="682">
        <v>2.2506619745625012E-3</v>
      </c>
      <c r="AD158" s="682">
        <v>9.3666948172975717E-3</v>
      </c>
      <c r="AE158" s="682">
        <v>-2.4040256337713728E-3</v>
      </c>
    </row>
    <row r="159" spans="1:31" ht="10.5">
      <c r="A159" s="671" t="s">
        <v>953</v>
      </c>
      <c r="B159" s="673">
        <v>11505.314823931698</v>
      </c>
      <c r="C159" s="673">
        <v>11261.7115394877</v>
      </c>
      <c r="E159" s="671" t="s">
        <v>953</v>
      </c>
      <c r="F159" s="672">
        <v>11505.314823931698</v>
      </c>
      <c r="G159" s="776"/>
      <c r="H159" s="676"/>
      <c r="I159" s="671" t="str">
        <f t="shared" si="22"/>
        <v>Operational closing balance</v>
      </c>
      <c r="J159" s="673">
        <v>2718.1185639992</v>
      </c>
      <c r="K159" s="673">
        <v>2995.0016315526</v>
      </c>
      <c r="L159" s="673">
        <v>2861.2640154160999</v>
      </c>
      <c r="M159" s="672">
        <v>2930.9306129637998</v>
      </c>
      <c r="N159" s="673">
        <v>2503.1074552542</v>
      </c>
      <c r="O159" s="673">
        <v>2904.8398705171999</v>
      </c>
      <c r="P159" s="673">
        <v>2714.5326348111003</v>
      </c>
      <c r="Q159" s="673">
        <v>3136.4179701052003</v>
      </c>
      <c r="R159" s="673">
        <v>2724.3191850976</v>
      </c>
      <c r="S159" s="673">
        <v>2625.6820839477</v>
      </c>
      <c r="U159" s="671" t="str">
        <f t="shared" si="23"/>
        <v>Operational closing balance</v>
      </c>
      <c r="V159" s="673">
        <v>2718.1185639992</v>
      </c>
      <c r="W159" s="673">
        <v>2995.0016315526</v>
      </c>
      <c r="X159" s="673">
        <v>2861.2640154160999</v>
      </c>
      <c r="Y159" s="672">
        <v>2930.9306129637998</v>
      </c>
      <c r="Z159" s="674">
        <v>2503.1074552542</v>
      </c>
      <c r="AA159" s="673">
        <v>2904.8398705171999</v>
      </c>
      <c r="AB159" s="673">
        <v>2715.5326348111003</v>
      </c>
      <c r="AC159" s="673">
        <v>3136.4179701052003</v>
      </c>
      <c r="AD159" s="673">
        <v>2724.3191850976</v>
      </c>
      <c r="AE159" s="673">
        <v>2625.6820839477</v>
      </c>
    </row>
    <row r="160" spans="1:31">
      <c r="A160" s="663" t="s">
        <v>948</v>
      </c>
      <c r="B160" s="737">
        <v>287</v>
      </c>
      <c r="C160" s="682">
        <v>1.0324193951515442E-3</v>
      </c>
      <c r="E160" s="663" t="s">
        <v>948</v>
      </c>
      <c r="F160" s="713">
        <v>6.0382620873050494E-3</v>
      </c>
      <c r="G160" s="780"/>
      <c r="H160" s="676"/>
      <c r="I160" s="663" t="str">
        <f t="shared" si="22"/>
        <v>Adjustment IAC</v>
      </c>
      <c r="J160" s="737">
        <v>0</v>
      </c>
      <c r="K160" s="737">
        <v>0</v>
      </c>
      <c r="L160" s="737">
        <v>7</v>
      </c>
      <c r="M160" s="738">
        <v>280</v>
      </c>
      <c r="N160" s="737">
        <v>0</v>
      </c>
      <c r="O160" s="737">
        <v>-142</v>
      </c>
      <c r="P160" s="737">
        <v>208</v>
      </c>
      <c r="Q160" s="737">
        <v>-15.5</v>
      </c>
      <c r="R160" s="737">
        <v>0</v>
      </c>
      <c r="S160" s="737">
        <v>-49.3</v>
      </c>
      <c r="U160" s="663" t="str">
        <f t="shared" si="23"/>
        <v>Adjustment IAC</v>
      </c>
      <c r="V160" s="682">
        <v>0</v>
      </c>
      <c r="W160" s="682">
        <v>0</v>
      </c>
      <c r="X160" s="682">
        <v>5.9679991131373223E-4</v>
      </c>
      <c r="Y160" s="683">
        <v>2.2296744936977458E-2</v>
      </c>
      <c r="Z160" s="684">
        <v>0</v>
      </c>
      <c r="AA160" s="682">
        <v>-1.1345907383894982E-2</v>
      </c>
      <c r="AB160" s="682">
        <v>1.7514938539937158E-2</v>
      </c>
      <c r="AC160" s="682">
        <v>-1.1644713073135841E-3</v>
      </c>
      <c r="AD160" s="682">
        <v>0</v>
      </c>
      <c r="AE160" s="682">
        <v>-4.3114177057250996E-3</v>
      </c>
    </row>
    <row r="161" spans="1:31" ht="10.5">
      <c r="A161" s="767" t="s">
        <v>954</v>
      </c>
      <c r="B161" s="732">
        <v>11792.114823931701</v>
      </c>
      <c r="C161" s="732">
        <v>11312.2115394877</v>
      </c>
      <c r="E161" s="767" t="s">
        <v>954</v>
      </c>
      <c r="F161" s="731">
        <v>11792.114823931701</v>
      </c>
      <c r="G161" s="776"/>
      <c r="H161" s="676"/>
      <c r="I161" s="767" t="str">
        <f t="shared" si="22"/>
        <v>Reported closing balance</v>
      </c>
      <c r="J161" s="732">
        <v>2717.7185639991999</v>
      </c>
      <c r="K161" s="732">
        <v>2995.0016315526</v>
      </c>
      <c r="L161" s="732">
        <v>2868.0640154161001</v>
      </c>
      <c r="M161" s="731">
        <v>3211.3306129637999</v>
      </c>
      <c r="N161" s="732">
        <v>2503.1074552542</v>
      </c>
      <c r="O161" s="732">
        <v>2762.8398705171999</v>
      </c>
      <c r="P161" s="732">
        <v>2922.5326348110998</v>
      </c>
      <c r="Q161" s="732">
        <v>3120.9179701051999</v>
      </c>
      <c r="R161" s="732">
        <v>2724.3191850976</v>
      </c>
      <c r="S161" s="732">
        <v>2577.3820839476998</v>
      </c>
      <c r="U161" s="767" t="str">
        <f t="shared" si="23"/>
        <v>Reported closing balance</v>
      </c>
      <c r="V161" s="732">
        <v>2717.7185639991999</v>
      </c>
      <c r="W161" s="732">
        <v>2995.0016315526</v>
      </c>
      <c r="X161" s="732">
        <v>2868.0640154161001</v>
      </c>
      <c r="Y161" s="731">
        <v>3211.3306129637999</v>
      </c>
      <c r="Z161" s="768">
        <v>2503.1074552542</v>
      </c>
      <c r="AA161" s="732">
        <v>2762.8398705171999</v>
      </c>
      <c r="AB161" s="732">
        <v>2923.5326348110998</v>
      </c>
      <c r="AC161" s="732">
        <v>3120.9179701051999</v>
      </c>
      <c r="AD161" s="732">
        <v>2724.3191850976</v>
      </c>
      <c r="AE161" s="732">
        <v>2577.3820839476998</v>
      </c>
    </row>
    <row r="162" spans="1:31">
      <c r="F162" s="772"/>
      <c r="H162" s="676"/>
      <c r="M162" s="772"/>
    </row>
    <row r="163" spans="1:31" ht="10.5">
      <c r="A163" s="769" t="s">
        <v>951</v>
      </c>
      <c r="B163" s="771">
        <v>450.05010439969999</v>
      </c>
      <c r="F163" s="772"/>
      <c r="H163" s="676"/>
      <c r="I163" s="769" t="str">
        <f>A163</f>
        <v>Currency</v>
      </c>
      <c r="J163" s="771">
        <v>164.60216404420001</v>
      </c>
      <c r="K163" s="771">
        <v>-198.73967112450001</v>
      </c>
      <c r="L163" s="771">
        <v>193.56116887799999</v>
      </c>
      <c r="M163" s="770">
        <v>290.626442602</v>
      </c>
      <c r="N163" s="771">
        <v>58.909050984299995</v>
      </c>
      <c r="O163" s="771">
        <v>338.17772439340001</v>
      </c>
      <c r="P163" s="771">
        <v>-18.48528789400001</v>
      </c>
      <c r="Q163" s="771">
        <v>56.093102130799991</v>
      </c>
      <c r="R163" s="771">
        <v>202.62132979520001</v>
      </c>
      <c r="S163" s="771">
        <v>-210.1131844654</v>
      </c>
    </row>
    <row r="164" spans="1:31" s="688" customFormat="1">
      <c r="A164" s="695" t="s">
        <v>955</v>
      </c>
      <c r="B164" s="697">
        <v>720.08672053359999</v>
      </c>
      <c r="D164" s="663"/>
      <c r="F164" s="782"/>
      <c r="G164" s="781"/>
      <c r="H164" s="676"/>
      <c r="I164" s="695" t="str">
        <f>A164</f>
        <v>of which translation</v>
      </c>
      <c r="J164" s="697">
        <v>227.5713980742</v>
      </c>
      <c r="K164" s="697">
        <v>16.237125569900002</v>
      </c>
      <c r="L164" s="697">
        <v>340.3001750359</v>
      </c>
      <c r="M164" s="696">
        <v>138.97802185360001</v>
      </c>
      <c r="N164" s="697">
        <v>-126.0210852841</v>
      </c>
      <c r="O164" s="697">
        <v>205.80409588079999</v>
      </c>
      <c r="P164" s="697">
        <v>-92.430372352800006</v>
      </c>
      <c r="Q164" s="697">
        <v>-353.57050310720001</v>
      </c>
      <c r="R164" s="697">
        <v>416.07654550270001</v>
      </c>
      <c r="S164" s="697">
        <v>-73.833586081899995</v>
      </c>
      <c r="T164" s="663"/>
    </row>
    <row r="165" spans="1:31" s="688" customFormat="1">
      <c r="A165" s="695" t="s">
        <v>956</v>
      </c>
      <c r="B165" s="697">
        <v>-270.0366161339</v>
      </c>
      <c r="D165" s="663"/>
      <c r="F165" s="782"/>
      <c r="G165" s="781"/>
      <c r="H165" s="676"/>
      <c r="I165" s="695" t="str">
        <f>A165</f>
        <v>of which transaction</v>
      </c>
      <c r="J165" s="697">
        <v>-62.969234030000003</v>
      </c>
      <c r="K165" s="697">
        <v>-214.97679669440001</v>
      </c>
      <c r="L165" s="697">
        <v>-145.73900615790001</v>
      </c>
      <c r="M165" s="696">
        <v>151.64842074840001</v>
      </c>
      <c r="N165" s="697">
        <v>184.93013626839999</v>
      </c>
      <c r="O165" s="697">
        <v>132.37362851259999</v>
      </c>
      <c r="P165" s="697">
        <v>73.945084458799997</v>
      </c>
      <c r="Q165" s="697">
        <v>409.663605238</v>
      </c>
      <c r="R165" s="697">
        <v>-213.4552157075</v>
      </c>
      <c r="S165" s="697">
        <v>-136.2795983835</v>
      </c>
      <c r="T165" s="663"/>
    </row>
    <row r="166" spans="1:31">
      <c r="B166" s="676"/>
      <c r="C166" s="676"/>
      <c r="F166" s="675"/>
      <c r="G166" s="777"/>
      <c r="H166" s="676"/>
      <c r="J166" s="676"/>
      <c r="K166" s="676"/>
      <c r="L166" s="676"/>
      <c r="M166" s="676"/>
      <c r="N166" s="676"/>
      <c r="O166" s="676"/>
      <c r="P166" s="676"/>
      <c r="Q166" s="676"/>
      <c r="R166" s="676"/>
      <c r="S166" s="676"/>
      <c r="V166" s="676"/>
      <c r="W166" s="676"/>
      <c r="X166" s="676"/>
      <c r="Y166" s="676"/>
      <c r="Z166" s="676"/>
      <c r="AA166" s="676"/>
      <c r="AB166" s="676"/>
      <c r="AC166" s="676"/>
      <c r="AD166" s="676"/>
    </row>
    <row r="167" spans="1:31">
      <c r="B167" s="676"/>
      <c r="F167" s="772"/>
      <c r="H167" s="676"/>
      <c r="J167" s="676"/>
      <c r="K167" s="676"/>
      <c r="L167" s="676"/>
      <c r="M167" s="676"/>
      <c r="N167" s="676"/>
      <c r="O167" s="676"/>
      <c r="P167" s="676"/>
      <c r="Q167" s="676"/>
      <c r="R167" s="676"/>
      <c r="S167" s="676"/>
    </row>
    <row r="168" spans="1:31" ht="10.5">
      <c r="A168" s="692" t="s">
        <v>6</v>
      </c>
      <c r="B168" s="692"/>
      <c r="C168" s="692"/>
      <c r="E168" s="692" t="s">
        <v>6</v>
      </c>
      <c r="F168" s="693"/>
      <c r="G168" s="775"/>
      <c r="H168" s="676"/>
      <c r="I168" s="692" t="str">
        <f t="shared" ref="I168:I179" si="24">A168</f>
        <v>Operating profit</v>
      </c>
      <c r="J168" s="692"/>
      <c r="K168" s="692"/>
      <c r="L168" s="692"/>
      <c r="M168" s="693"/>
      <c r="N168" s="692"/>
      <c r="O168" s="692"/>
      <c r="P168" s="692"/>
      <c r="Q168" s="692"/>
      <c r="R168" s="692"/>
      <c r="S168" s="692"/>
      <c r="U168" s="692" t="str">
        <f t="shared" ref="U168:U179" si="25">E168</f>
        <v>Operating profit</v>
      </c>
      <c r="V168" s="692"/>
      <c r="W168" s="692"/>
      <c r="X168" s="692"/>
      <c r="Y168" s="693"/>
      <c r="Z168" s="694"/>
      <c r="AA168" s="692"/>
      <c r="AB168" s="692"/>
      <c r="AC168" s="692"/>
      <c r="AD168" s="692"/>
      <c r="AE168" s="692"/>
    </row>
    <row r="169" spans="1:31" ht="10.5">
      <c r="A169" s="668" t="s">
        <v>71</v>
      </c>
      <c r="B169" s="668">
        <v>2023</v>
      </c>
      <c r="C169" s="668">
        <v>2024</v>
      </c>
      <c r="E169" s="668" t="s">
        <v>71</v>
      </c>
      <c r="F169" s="669">
        <v>2023</v>
      </c>
      <c r="G169" s="775"/>
      <c r="H169" s="676"/>
      <c r="I169" s="668" t="str">
        <f t="shared" si="24"/>
        <v>Tools &amp; Attachments</v>
      </c>
      <c r="J169" s="668" t="s">
        <v>803</v>
      </c>
      <c r="K169" s="668" t="s">
        <v>812</v>
      </c>
      <c r="L169" s="668" t="s">
        <v>816</v>
      </c>
      <c r="M169" s="669" t="s">
        <v>835</v>
      </c>
      <c r="N169" s="668" t="s">
        <v>872</v>
      </c>
      <c r="O169" s="668" t="s">
        <v>986</v>
      </c>
      <c r="P169" s="668" t="s">
        <v>1016</v>
      </c>
      <c r="Q169" s="668" t="s">
        <v>1039</v>
      </c>
      <c r="R169" s="668" t="s">
        <v>1076</v>
      </c>
      <c r="S169" s="764" t="s">
        <v>1285</v>
      </c>
      <c r="U169" s="668" t="str">
        <f t="shared" si="25"/>
        <v>Tools &amp; Attachments</v>
      </c>
      <c r="V169" s="668" t="s">
        <v>803</v>
      </c>
      <c r="W169" s="668" t="s">
        <v>812</v>
      </c>
      <c r="X169" s="668" t="s">
        <v>816</v>
      </c>
      <c r="Y169" s="669" t="s">
        <v>835</v>
      </c>
      <c r="Z169" s="670" t="s">
        <v>872</v>
      </c>
      <c r="AA169" s="668" t="s">
        <v>986</v>
      </c>
      <c r="AB169" s="668" t="s">
        <v>1016</v>
      </c>
      <c r="AC169" s="668" t="s">
        <v>1039</v>
      </c>
      <c r="AD169" s="764" t="s">
        <v>1076</v>
      </c>
      <c r="AE169" s="764" t="s">
        <v>1285</v>
      </c>
    </row>
    <row r="170" spans="1:31" ht="10.5">
      <c r="A170" s="671" t="s">
        <v>947</v>
      </c>
      <c r="B170" s="673">
        <v>1899.9060779325</v>
      </c>
      <c r="C170" s="673">
        <v>1781.3340408305999</v>
      </c>
      <c r="E170" s="671" t="s">
        <v>947</v>
      </c>
      <c r="F170" s="672">
        <v>1899.9060779325</v>
      </c>
      <c r="G170" s="776"/>
      <c r="H170" s="676"/>
      <c r="I170" s="671" t="str">
        <f t="shared" si="24"/>
        <v>Reported opening balance</v>
      </c>
      <c r="J170" s="673">
        <v>474.07123835089999</v>
      </c>
      <c r="K170" s="673">
        <v>436.40084296420002</v>
      </c>
      <c r="L170" s="673">
        <v>513.86995469329997</v>
      </c>
      <c r="M170" s="672">
        <v>475.58798497110001</v>
      </c>
      <c r="N170" s="673">
        <v>531.69128043830005</v>
      </c>
      <c r="O170" s="673">
        <v>523.54780306999999</v>
      </c>
      <c r="P170" s="673">
        <v>480.77041976430002</v>
      </c>
      <c r="Q170" s="673">
        <v>243.48978503500001</v>
      </c>
      <c r="R170" s="673">
        <v>334.93100653929997</v>
      </c>
      <c r="S170" s="673">
        <v>283.30967780169999</v>
      </c>
      <c r="U170" s="671" t="str">
        <f t="shared" si="25"/>
        <v>Reported opening balance</v>
      </c>
      <c r="V170" s="673">
        <v>474.07123835089999</v>
      </c>
      <c r="W170" s="673">
        <v>436.40084296420002</v>
      </c>
      <c r="X170" s="673">
        <v>513.84601164629998</v>
      </c>
      <c r="Y170" s="672">
        <v>475.58798497110001</v>
      </c>
      <c r="Z170" s="674">
        <v>332.93100653929997</v>
      </c>
      <c r="AA170" s="673">
        <v>523.54780306999999</v>
      </c>
      <c r="AB170" s="673">
        <v>480.77041976430002</v>
      </c>
      <c r="AC170" s="673">
        <v>243.48978503500001</v>
      </c>
      <c r="AD170" s="673">
        <v>334.93100653929997</v>
      </c>
      <c r="AE170" s="673">
        <v>283.30967780169999</v>
      </c>
    </row>
    <row r="171" spans="1:31">
      <c r="A171" s="663" t="s">
        <v>948</v>
      </c>
      <c r="B171" s="737">
        <v>85</v>
      </c>
      <c r="C171" s="682">
        <v>1.241832608021088E-2</v>
      </c>
      <c r="E171" s="663" t="s">
        <v>948</v>
      </c>
      <c r="F171" s="713">
        <v>7.86615556206967E-3</v>
      </c>
      <c r="G171" s="780"/>
      <c r="H171" s="676"/>
      <c r="I171" s="663" t="str">
        <f t="shared" si="24"/>
        <v>Adjustment IAC</v>
      </c>
      <c r="J171" s="737">
        <v>0</v>
      </c>
      <c r="K171" s="737">
        <v>73</v>
      </c>
      <c r="L171" s="737">
        <v>11.8</v>
      </c>
      <c r="M171" s="738">
        <v>0</v>
      </c>
      <c r="N171" s="737">
        <v>0</v>
      </c>
      <c r="O171" s="737">
        <v>0</v>
      </c>
      <c r="P171" s="737">
        <v>0</v>
      </c>
      <c r="Q171" s="737">
        <v>158</v>
      </c>
      <c r="R171" s="737">
        <v>125.3</v>
      </c>
      <c r="S171" s="737">
        <v>164.7</v>
      </c>
      <c r="U171" s="663" t="str">
        <f t="shared" si="25"/>
        <v>Adjustment IAC</v>
      </c>
      <c r="V171" s="682">
        <v>0</v>
      </c>
      <c r="W171" s="682">
        <v>2.6128029917278198E-2</v>
      </c>
      <c r="X171" s="682">
        <v>4.4260817539145654E-3</v>
      </c>
      <c r="Y171" s="683">
        <v>0</v>
      </c>
      <c r="Z171" s="684">
        <v>4.2491304198712082E-2</v>
      </c>
      <c r="AA171" s="682">
        <v>0</v>
      </c>
      <c r="AB171" s="682">
        <v>0</v>
      </c>
      <c r="AC171" s="682">
        <v>5.2930396288634739E-2</v>
      </c>
      <c r="AD171" s="682">
        <v>4.2491304198712082E-2</v>
      </c>
      <c r="AE171" s="682">
        <v>4.1265414958373166E-2</v>
      </c>
    </row>
    <row r="172" spans="1:31" ht="10.5">
      <c r="A172" s="671" t="s">
        <v>949</v>
      </c>
      <c r="B172" s="740">
        <v>1984.9060779325</v>
      </c>
      <c r="C172" s="740">
        <v>1939.3340408305999</v>
      </c>
      <c r="E172" s="671" t="s">
        <v>949</v>
      </c>
      <c r="F172" s="672">
        <v>1984.9060779325</v>
      </c>
      <c r="G172" s="776"/>
      <c r="H172" s="676"/>
      <c r="I172" s="671" t="str">
        <f t="shared" si="24"/>
        <v>Adjusted opening balance</v>
      </c>
      <c r="J172" s="740">
        <v>474.07123835089999</v>
      </c>
      <c r="K172" s="740">
        <v>509.40084296420002</v>
      </c>
      <c r="L172" s="740">
        <v>525.66995469329993</v>
      </c>
      <c r="M172" s="741">
        <v>475.58798497110001</v>
      </c>
      <c r="N172" s="740">
        <v>531.69128043830005</v>
      </c>
      <c r="O172" s="740">
        <v>523.54780306999999</v>
      </c>
      <c r="P172" s="740">
        <v>480.77041976430002</v>
      </c>
      <c r="Q172" s="740">
        <v>401.48978503500001</v>
      </c>
      <c r="R172" s="740">
        <v>460.23100653929998</v>
      </c>
      <c r="S172" s="740">
        <v>448.00967780169998</v>
      </c>
      <c r="U172" s="671" t="str">
        <f t="shared" si="25"/>
        <v>Adjusted opening balance</v>
      </c>
      <c r="V172" s="673">
        <v>474.07123835089999</v>
      </c>
      <c r="W172" s="673">
        <v>509.40084296420002</v>
      </c>
      <c r="X172" s="673">
        <v>525.84601164629998</v>
      </c>
      <c r="Y172" s="672">
        <v>475.58798497110001</v>
      </c>
      <c r="Z172" s="674">
        <v>458.23100653929998</v>
      </c>
      <c r="AA172" s="673">
        <v>523.54780306999999</v>
      </c>
      <c r="AB172" s="740">
        <v>480.77041976430002</v>
      </c>
      <c r="AC172" s="740">
        <v>401.48978503500001</v>
      </c>
      <c r="AD172" s="740">
        <v>460.23100653929998</v>
      </c>
      <c r="AE172" s="740">
        <v>448.00967780169998</v>
      </c>
    </row>
    <row r="173" spans="1:31">
      <c r="A173" s="663" t="s">
        <v>950</v>
      </c>
      <c r="B173" s="737">
        <v>-348.77099661049999</v>
      </c>
      <c r="C173" s="682">
        <v>-1.2879107328521607E-2</v>
      </c>
      <c r="E173" s="663" t="s">
        <v>950</v>
      </c>
      <c r="F173" s="713">
        <v>-2.6138130713656813E-2</v>
      </c>
      <c r="G173" s="780"/>
      <c r="H173" s="676"/>
      <c r="I173" s="663" t="str">
        <f t="shared" si="24"/>
        <v>Organic</v>
      </c>
      <c r="J173" s="737">
        <v>15.1813301342</v>
      </c>
      <c r="K173" s="737">
        <v>-27.977695242500001</v>
      </c>
      <c r="L173" s="737">
        <v>-185.4132886854</v>
      </c>
      <c r="M173" s="738">
        <v>-150.56134281679999</v>
      </c>
      <c r="N173" s="737">
        <v>-73</v>
      </c>
      <c r="O173" s="737">
        <v>-183.64027944809999</v>
      </c>
      <c r="P173" s="737">
        <v>-5.5927333704000004</v>
      </c>
      <c r="Q173" s="737">
        <v>-41.625719387700002</v>
      </c>
      <c r="R173" s="737">
        <v>-101.47495675730001</v>
      </c>
      <c r="S173" s="737">
        <v>67.932452469300003</v>
      </c>
      <c r="U173" s="663" t="str">
        <f t="shared" si="25"/>
        <v>Organic</v>
      </c>
      <c r="V173" s="682">
        <v>-2.4667829924794604E-4</v>
      </c>
      <c r="W173" s="682">
        <v>-7.3887503992180288E-3</v>
      </c>
      <c r="X173" s="682">
        <v>-5.4969088734367413E-2</v>
      </c>
      <c r="Y173" s="683">
        <v>-4.4832433861540108E-2</v>
      </c>
      <c r="Z173" s="684">
        <v>-2.2456733228033463E-2</v>
      </c>
      <c r="AA173" s="682">
        <v>-3.1648214268672377E-2</v>
      </c>
      <c r="AB173" s="682">
        <v>5.5662938743079801E-3</v>
      </c>
      <c r="AC173" s="682">
        <v>-1.0146706144451609E-2</v>
      </c>
      <c r="AD173" s="682">
        <v>-3.05478859255289E-2</v>
      </c>
      <c r="AE173" s="682">
        <v>2.1021929240306225E-2</v>
      </c>
    </row>
    <row r="174" spans="1:31">
      <c r="A174" s="663" t="s">
        <v>951</v>
      </c>
      <c r="B174" s="737">
        <v>81.641692189699995</v>
      </c>
      <c r="C174" s="682">
        <v>3.2809774534112357E-3</v>
      </c>
      <c r="E174" s="663" t="s">
        <v>951</v>
      </c>
      <c r="F174" s="713">
        <v>3.0152063357957878E-3</v>
      </c>
      <c r="G174" s="780"/>
      <c r="H174" s="676"/>
      <c r="I174" s="663" t="str">
        <f t="shared" si="24"/>
        <v>Currency</v>
      </c>
      <c r="J174" s="737">
        <v>32.873405908099997</v>
      </c>
      <c r="K174" s="737">
        <v>-50.032321365900003</v>
      </c>
      <c r="L174" s="737">
        <v>61.881205862599998</v>
      </c>
      <c r="M174" s="738">
        <v>36.919401784900003</v>
      </c>
      <c r="N174" s="737">
        <v>-14.3078845149</v>
      </c>
      <c r="O174" s="737">
        <v>63.7445785779</v>
      </c>
      <c r="P174" s="737">
        <v>-33.370733480799998</v>
      </c>
      <c r="Q174" s="737">
        <v>7.4556641838999997</v>
      </c>
      <c r="R174" s="737">
        <v>64.197016544199997</v>
      </c>
      <c r="S174" s="737">
        <v>-42.208929125099999</v>
      </c>
      <c r="U174" s="663" t="str">
        <f t="shared" si="25"/>
        <v>Currency</v>
      </c>
      <c r="V174" s="682">
        <v>1.9313759061482044E-3</v>
      </c>
      <c r="W174" s="682">
        <v>-1.9831947011694714E-2</v>
      </c>
      <c r="X174" s="682">
        <v>1.7785983493624886E-2</v>
      </c>
      <c r="Y174" s="683">
        <v>1.4400393658750258E-2</v>
      </c>
      <c r="Z174" s="684">
        <v>1.6848752256443989E-2</v>
      </c>
      <c r="AA174" s="682">
        <v>1.6737919454305635E-2</v>
      </c>
      <c r="AB174" s="682">
        <v>-5.7003454930893817E-3</v>
      </c>
      <c r="AC174" s="682">
        <v>5.1794995250172135E-4</v>
      </c>
      <c r="AD174" s="682">
        <v>2.3455831973347899E-2</v>
      </c>
      <c r="AE174" s="682">
        <v>-1.3500027253508969E-3</v>
      </c>
    </row>
    <row r="175" spans="1:31">
      <c r="A175" s="680" t="s">
        <v>952</v>
      </c>
      <c r="B175" s="742">
        <v>219.9441154486</v>
      </c>
      <c r="C175" s="685">
        <v>-2.9356144452572647E-2</v>
      </c>
      <c r="E175" s="680" t="s">
        <v>952</v>
      </c>
      <c r="F175" s="714">
        <v>-8.1420092329235021E-3</v>
      </c>
      <c r="G175" s="780"/>
      <c r="H175" s="676"/>
      <c r="I175" s="680" t="str">
        <f t="shared" si="24"/>
        <v>Structure</v>
      </c>
      <c r="J175" s="742">
        <v>10.3144418353</v>
      </c>
      <c r="K175" s="742">
        <v>93.292436906299997</v>
      </c>
      <c r="L175" s="742">
        <v>77.632547894300004</v>
      </c>
      <c r="M175" s="743">
        <v>38.704688812699999</v>
      </c>
      <c r="N175" s="742">
        <v>14.884524311899995</v>
      </c>
      <c r="O175" s="742">
        <v>43.557575602</v>
      </c>
      <c r="P175" s="742">
        <v>-12.941713784800001</v>
      </c>
      <c r="Q175" s="742">
        <v>-40.112726042200009</v>
      </c>
      <c r="R175" s="742">
        <v>38.323484963300004</v>
      </c>
      <c r="S175" s="742">
        <v>9.6664192200023535E-2</v>
      </c>
      <c r="U175" s="680" t="str">
        <f t="shared" si="25"/>
        <v>Structure</v>
      </c>
      <c r="V175" s="685">
        <v>-1.450773452635936E-2</v>
      </c>
      <c r="W175" s="685">
        <v>-1.494571587854065E-3</v>
      </c>
      <c r="X175" s="685">
        <v>-6.2188679201728696E-3</v>
      </c>
      <c r="Y175" s="686">
        <v>-1.0637858630309515E-2</v>
      </c>
      <c r="Z175" s="687">
        <v>-2.8744463601222275E-2</v>
      </c>
      <c r="AA175" s="685">
        <v>-2.619929855425026E-2</v>
      </c>
      <c r="AB175" s="685">
        <v>-3.7770010278081086E-2</v>
      </c>
      <c r="AC175" s="685">
        <v>-4.1042753182364139E-2</v>
      </c>
      <c r="AD175" s="685">
        <v>-2.7913813720565998E-2</v>
      </c>
      <c r="AE175" s="685">
        <v>-2.1986112459124671E-3</v>
      </c>
    </row>
    <row r="176" spans="1:31">
      <c r="A176" s="663" t="s">
        <v>832</v>
      </c>
      <c r="B176" s="737">
        <v>-46.78449619740001</v>
      </c>
      <c r="C176" s="682">
        <v>-3.8954274327683017E-2</v>
      </c>
      <c r="E176" s="663" t="s">
        <v>832</v>
      </c>
      <c r="F176" s="713">
        <v>-3.1358633351917214E-2</v>
      </c>
      <c r="G176" s="780"/>
      <c r="H176" s="676"/>
      <c r="I176" s="663" t="str">
        <f t="shared" si="24"/>
        <v>Total</v>
      </c>
      <c r="J176" s="737">
        <v>58.020042087700006</v>
      </c>
      <c r="K176" s="737">
        <v>14.918016650599995</v>
      </c>
      <c r="L176" s="737">
        <v>-44.899534928500003</v>
      </c>
      <c r="M176" s="738">
        <v>-75.074468108000005</v>
      </c>
      <c r="N176" s="737">
        <v>-71.646665099700002</v>
      </c>
      <c r="O176" s="737">
        <v>-75.538125268200005</v>
      </c>
      <c r="P176" s="737">
        <v>-51.905180635999997</v>
      </c>
      <c r="Q176" s="737">
        <v>-74.282781246000013</v>
      </c>
      <c r="R176" s="737">
        <v>1.0455447501999899</v>
      </c>
      <c r="S176" s="737">
        <v>25.6201875364</v>
      </c>
      <c r="U176" s="663" t="str">
        <f t="shared" si="25"/>
        <v>Total</v>
      </c>
      <c r="V176" s="682">
        <v>-1.2968956371129242E-2</v>
      </c>
      <c r="W176" s="682">
        <v>-2.8915670583476744E-2</v>
      </c>
      <c r="X176" s="682">
        <v>-4.3333096444513136E-2</v>
      </c>
      <c r="Y176" s="683">
        <v>-4.1121271426143247E-2</v>
      </c>
      <c r="Z176" s="684">
        <v>-3.4352444572811752E-2</v>
      </c>
      <c r="AA176" s="682">
        <v>-4.1109593368616998E-2</v>
      </c>
      <c r="AB176" s="682">
        <v>-3.790406189686249E-2</v>
      </c>
      <c r="AC176" s="682">
        <v>-5.0671509374314028E-2</v>
      </c>
      <c r="AD176" s="682">
        <v>-3.4505867672746951E-2</v>
      </c>
      <c r="AE176" s="682">
        <v>1.7473315269042861E-2</v>
      </c>
    </row>
    <row r="177" spans="1:31" ht="10.5">
      <c r="A177" s="671" t="s">
        <v>953</v>
      </c>
      <c r="B177" s="740">
        <v>1938.1215817350999</v>
      </c>
      <c r="C177" s="673">
        <v>1661.3129272577</v>
      </c>
      <c r="E177" s="671" t="s">
        <v>953</v>
      </c>
      <c r="F177" s="672">
        <v>1938.1215817350999</v>
      </c>
      <c r="G177" s="776"/>
      <c r="H177" s="676"/>
      <c r="I177" s="671" t="str">
        <f t="shared" si="24"/>
        <v>Operational closing balance</v>
      </c>
      <c r="J177" s="740">
        <v>532.09128043860005</v>
      </c>
      <c r="K177" s="740">
        <v>524.31885961479998</v>
      </c>
      <c r="L177" s="740">
        <v>480.77041976479995</v>
      </c>
      <c r="M177" s="741">
        <v>400.51351686309999</v>
      </c>
      <c r="N177" s="740">
        <v>460.04461533860007</v>
      </c>
      <c r="O177" s="740">
        <v>448.00967780179997</v>
      </c>
      <c r="P177" s="740">
        <v>428.8652391283</v>
      </c>
      <c r="Q177" s="740">
        <v>326.207003789</v>
      </c>
      <c r="R177" s="740">
        <v>461.27655128949999</v>
      </c>
      <c r="S177" s="740">
        <v>474.4298653381</v>
      </c>
      <c r="U177" s="671" t="str">
        <f t="shared" si="25"/>
        <v>Operational closing balance</v>
      </c>
      <c r="V177" s="673">
        <v>532.09128043860005</v>
      </c>
      <c r="W177" s="673">
        <v>524.31885961479998</v>
      </c>
      <c r="X177" s="673">
        <v>481.19792481859997</v>
      </c>
      <c r="Y177" s="672">
        <v>400.51351686309999</v>
      </c>
      <c r="Z177" s="674">
        <v>461.27655128949999</v>
      </c>
      <c r="AA177" s="673">
        <v>448.00967780179997</v>
      </c>
      <c r="AB177" s="673">
        <v>428.8652391283</v>
      </c>
      <c r="AC177" s="673">
        <v>326.207003789</v>
      </c>
      <c r="AD177" s="673">
        <v>461.27655128949999</v>
      </c>
      <c r="AE177" s="673">
        <v>474.4298653381</v>
      </c>
    </row>
    <row r="178" spans="1:31">
      <c r="A178" s="663" t="s">
        <v>948</v>
      </c>
      <c r="B178" s="737">
        <v>-158</v>
      </c>
      <c r="C178" s="682">
        <v>-1.980767927381466E-2</v>
      </c>
      <c r="E178" s="663" t="s">
        <v>948</v>
      </c>
      <c r="F178" s="713">
        <v>-1.2418326080210977E-2</v>
      </c>
      <c r="G178" s="780"/>
      <c r="H178" s="676"/>
      <c r="I178" s="663" t="str">
        <f t="shared" si="24"/>
        <v>Adjustment IAC</v>
      </c>
      <c r="J178" s="737">
        <v>0</v>
      </c>
      <c r="K178" s="737">
        <v>0</v>
      </c>
      <c r="L178" s="737">
        <v>0</v>
      </c>
      <c r="M178" s="738">
        <v>-158</v>
      </c>
      <c r="N178" s="737">
        <v>-125.3</v>
      </c>
      <c r="O178" s="737">
        <v>-164.7</v>
      </c>
      <c r="P178" s="737">
        <v>0</v>
      </c>
      <c r="Q178" s="737">
        <v>0</v>
      </c>
      <c r="R178" s="737">
        <v>0</v>
      </c>
      <c r="S178" s="737">
        <v>-97.7</v>
      </c>
      <c r="U178" s="663" t="str">
        <f t="shared" si="25"/>
        <v>Adjustment IAC</v>
      </c>
      <c r="V178" s="682">
        <v>0</v>
      </c>
      <c r="W178" s="682">
        <v>0</v>
      </c>
      <c r="X178" s="682">
        <v>0</v>
      </c>
      <c r="Y178" s="683">
        <v>-5.2930396288636515E-2</v>
      </c>
      <c r="Z178" s="684">
        <v>0</v>
      </c>
      <c r="AA178" s="682">
        <v>-4.1265414958373166E-2</v>
      </c>
      <c r="AB178" s="682">
        <v>0</v>
      </c>
      <c r="AC178" s="682">
        <v>0</v>
      </c>
      <c r="AD178" s="682">
        <v>0</v>
      </c>
      <c r="AE178" s="682">
        <v>-2.7657576260977198E-2</v>
      </c>
    </row>
    <row r="179" spans="1:31" ht="10.5">
      <c r="A179" s="767" t="s">
        <v>954</v>
      </c>
      <c r="B179" s="732">
        <v>1780</v>
      </c>
      <c r="C179" s="732">
        <v>1370.6129272577</v>
      </c>
      <c r="E179" s="767" t="s">
        <v>954</v>
      </c>
      <c r="F179" s="731">
        <v>1780</v>
      </c>
      <c r="G179" s="776"/>
      <c r="H179" s="676"/>
      <c r="I179" s="767" t="str">
        <f t="shared" si="24"/>
        <v>Reported closing balance</v>
      </c>
      <c r="J179" s="732">
        <v>531.69128043859996</v>
      </c>
      <c r="K179" s="732">
        <v>523.61885961480004</v>
      </c>
      <c r="L179" s="732">
        <v>480.77041976480001</v>
      </c>
      <c r="M179" s="731">
        <v>242.9135168631</v>
      </c>
      <c r="N179" s="732">
        <v>334.7446153386</v>
      </c>
      <c r="O179" s="732">
        <v>283.30967780179998</v>
      </c>
      <c r="P179" s="732">
        <v>428.8652391283</v>
      </c>
      <c r="Q179" s="732">
        <v>325.50700378900001</v>
      </c>
      <c r="R179" s="732">
        <v>461.27655128949999</v>
      </c>
      <c r="S179" s="732">
        <v>375.72986533810001</v>
      </c>
      <c r="U179" s="767" t="str">
        <f t="shared" si="25"/>
        <v>Reported closing balance</v>
      </c>
      <c r="V179" s="732">
        <v>531.69128043859996</v>
      </c>
      <c r="W179" s="732">
        <v>523.61885961480004</v>
      </c>
      <c r="X179" s="732">
        <v>481.19792481860003</v>
      </c>
      <c r="Y179" s="731">
        <v>242.9135168631</v>
      </c>
      <c r="Z179" s="768">
        <v>461.27655128949999</v>
      </c>
      <c r="AA179" s="732">
        <v>283.30967780179998</v>
      </c>
      <c r="AB179" s="732">
        <v>428.8652391283</v>
      </c>
      <c r="AC179" s="732">
        <v>325.50700378900001</v>
      </c>
      <c r="AD179" s="732">
        <v>461.27655128949999</v>
      </c>
      <c r="AE179" s="732">
        <v>375.72986533810001</v>
      </c>
    </row>
    <row r="180" spans="1:31">
      <c r="F180" s="772"/>
      <c r="H180" s="676"/>
      <c r="M180" s="772"/>
    </row>
    <row r="181" spans="1:31" ht="10.5">
      <c r="A181" s="769" t="s">
        <v>951</v>
      </c>
      <c r="B181" s="771">
        <v>81.653022103699996</v>
      </c>
      <c r="F181" s="772"/>
      <c r="H181" s="676"/>
      <c r="I181" s="769" t="str">
        <f>A181</f>
        <v>Currency</v>
      </c>
      <c r="J181" s="771">
        <v>32.823072391699995</v>
      </c>
      <c r="K181" s="771">
        <v>-49.988085122599998</v>
      </c>
      <c r="L181" s="771">
        <v>61.876795464899999</v>
      </c>
      <c r="M181" s="770">
        <v>36.9412393697</v>
      </c>
      <c r="N181" s="771">
        <v>-14.3078845149</v>
      </c>
      <c r="O181" s="771">
        <v>63.7445785779</v>
      </c>
      <c r="P181" s="771">
        <v>-33.370733480799998</v>
      </c>
      <c r="Q181" s="771">
        <v>7.2556641838999951</v>
      </c>
      <c r="R181" s="771">
        <v>64.197016544199997</v>
      </c>
      <c r="S181" s="771">
        <v>-42.208929125099999</v>
      </c>
    </row>
    <row r="182" spans="1:31" s="688" customFormat="1">
      <c r="A182" s="695" t="s">
        <v>955</v>
      </c>
      <c r="B182" s="697">
        <v>126.18050934590001</v>
      </c>
      <c r="D182" s="663"/>
      <c r="F182" s="782"/>
      <c r="G182" s="781"/>
      <c r="H182" s="676"/>
      <c r="I182" s="695" t="str">
        <f>A182</f>
        <v>of which translation</v>
      </c>
      <c r="J182" s="697">
        <v>40.106645534199998</v>
      </c>
      <c r="K182" s="697">
        <v>18.052235276699999</v>
      </c>
      <c r="L182" s="697">
        <v>62.713381624100002</v>
      </c>
      <c r="M182" s="696">
        <v>4.3082469109000003</v>
      </c>
      <c r="N182" s="697">
        <v>-30</v>
      </c>
      <c r="O182" s="697">
        <v>48.723298828200001</v>
      </c>
      <c r="P182" s="697">
        <v>-7.9061194075000003</v>
      </c>
      <c r="Q182" s="697">
        <v>-97.6775364489</v>
      </c>
      <c r="R182" s="697">
        <v>100.618628507</v>
      </c>
      <c r="S182" s="697">
        <v>-19.667318876100001</v>
      </c>
      <c r="T182" s="663"/>
    </row>
    <row r="183" spans="1:31" s="688" customFormat="1">
      <c r="A183" s="695" t="s">
        <v>956</v>
      </c>
      <c r="B183" s="697">
        <v>-43.527487242200003</v>
      </c>
      <c r="D183" s="663"/>
      <c r="F183" s="782"/>
      <c r="G183" s="781"/>
      <c r="H183" s="676"/>
      <c r="I183" s="695" t="str">
        <f>A183</f>
        <v>of which transaction</v>
      </c>
      <c r="J183" s="697">
        <v>-7.2835731424999999</v>
      </c>
      <c r="K183" s="697">
        <v>-68.040320399300001</v>
      </c>
      <c r="L183" s="697">
        <v>-0.83658615920000001</v>
      </c>
      <c r="M183" s="696">
        <v>32.632992458799997</v>
      </c>
      <c r="N183" s="697">
        <v>16</v>
      </c>
      <c r="O183" s="697">
        <v>15.0212797497</v>
      </c>
      <c r="P183" s="697">
        <v>-25.464614073300002</v>
      </c>
      <c r="Q183" s="697">
        <v>104.93320063279999</v>
      </c>
      <c r="R183" s="697">
        <v>-36.4216119628</v>
      </c>
      <c r="S183" s="697">
        <v>-22.541610249000001</v>
      </c>
      <c r="T183" s="663"/>
    </row>
    <row r="184" spans="1:31">
      <c r="B184" s="676"/>
      <c r="H184" s="676"/>
      <c r="J184" s="676"/>
      <c r="K184" s="676"/>
      <c r="L184" s="676"/>
      <c r="M184" s="676"/>
      <c r="N184" s="676"/>
      <c r="O184" s="676"/>
      <c r="P184" s="676"/>
      <c r="Q184" s="676"/>
      <c r="R184" s="676"/>
      <c r="S184" s="676"/>
    </row>
    <row r="185" spans="1:31">
      <c r="B185" s="676"/>
      <c r="H185" s="676"/>
      <c r="J185" s="676"/>
      <c r="K185" s="676"/>
      <c r="L185" s="676"/>
      <c r="M185" s="676"/>
      <c r="N185" s="676"/>
      <c r="O185" s="676"/>
      <c r="P185" s="676"/>
      <c r="Q185" s="676"/>
      <c r="R185" s="676"/>
      <c r="S185" s="676"/>
    </row>
    <row r="186" spans="1:31">
      <c r="H186" s="676"/>
    </row>
    <row r="187" spans="1:31">
      <c r="H187" s="676"/>
      <c r="O187" s="737"/>
      <c r="P187" s="737"/>
      <c r="Q187" s="737"/>
      <c r="R187" s="737"/>
      <c r="S187" s="737"/>
    </row>
    <row r="189" spans="1:31">
      <c r="K189" s="676"/>
      <c r="O189" s="676"/>
      <c r="P189" s="676"/>
      <c r="Q189" s="676"/>
      <c r="R189" s="676"/>
      <c r="S189" s="676"/>
    </row>
    <row r="191" spans="1:31" ht="14.5">
      <c r="C191" s="824"/>
      <c r="K191" s="824"/>
      <c r="M191" s="824"/>
      <c r="X191" s="824"/>
      <c r="Z191" s="824"/>
      <c r="AA191" s="824"/>
      <c r="AB191" s="824"/>
      <c r="AC191" s="824"/>
      <c r="AD191" s="824"/>
    </row>
    <row r="192" spans="1:31" ht="14.5">
      <c r="C192" s="824"/>
      <c r="K192" s="824"/>
      <c r="X192" s="824"/>
      <c r="Z192" s="824"/>
      <c r="AA192" s="824"/>
      <c r="AB192" s="824"/>
      <c r="AC192" s="824"/>
      <c r="AD192" s="824"/>
    </row>
    <row r="193" spans="2:30" ht="14.5">
      <c r="C193" s="824"/>
      <c r="K193" s="824"/>
      <c r="X193" s="824"/>
      <c r="Z193" s="824"/>
      <c r="AA193" s="824"/>
      <c r="AB193" s="824"/>
      <c r="AC193" s="824"/>
      <c r="AD193" s="824"/>
    </row>
    <row r="194" spans="2:30" ht="14.5">
      <c r="C194" s="824"/>
      <c r="K194" s="824"/>
      <c r="Z194" s="824"/>
      <c r="AA194" s="824"/>
      <c r="AB194" s="824"/>
      <c r="AC194" s="824"/>
      <c r="AD194" s="824"/>
    </row>
    <row r="195" spans="2:30" ht="14.5">
      <c r="B195" s="824"/>
      <c r="C195" s="824"/>
      <c r="J195" s="824"/>
      <c r="X195" s="824"/>
      <c r="AA195" s="824"/>
      <c r="AB195" s="824"/>
      <c r="AC195" s="824"/>
      <c r="AD195" s="824"/>
    </row>
    <row r="196" spans="2:30" ht="14.5">
      <c r="B196" s="824"/>
      <c r="C196" s="824"/>
      <c r="J196" s="824"/>
      <c r="X196" s="824"/>
      <c r="AA196" s="824"/>
      <c r="AB196" s="824"/>
      <c r="AC196" s="824"/>
      <c r="AD196" s="824"/>
    </row>
    <row r="197" spans="2:30" ht="14.5">
      <c r="B197" s="824"/>
      <c r="C197" s="824"/>
      <c r="J197" s="824"/>
      <c r="X197" s="824"/>
      <c r="AA197" s="824"/>
      <c r="AB197" s="824"/>
      <c r="AC197" s="824"/>
      <c r="AD197" s="824"/>
    </row>
    <row r="198" spans="2:30" ht="14.5">
      <c r="B198" s="824"/>
      <c r="C198" s="824"/>
      <c r="J198" s="824"/>
      <c r="X198" s="824"/>
      <c r="AA198" s="824"/>
      <c r="AB198" s="824"/>
      <c r="AC198" s="824"/>
      <c r="AD198" s="824"/>
    </row>
    <row r="199" spans="2:30" ht="14.5">
      <c r="B199" s="824"/>
      <c r="C199" s="824"/>
      <c r="J199" s="824"/>
      <c r="X199" s="824"/>
      <c r="AA199" s="824"/>
      <c r="AB199" s="824"/>
      <c r="AC199" s="824"/>
      <c r="AD199" s="824"/>
    </row>
    <row r="200" spans="2:30" ht="14.5">
      <c r="B200" s="824"/>
      <c r="C200" s="824"/>
      <c r="J200" s="824"/>
      <c r="X200" s="824"/>
      <c r="AA200" s="824"/>
      <c r="AB200" s="824"/>
      <c r="AC200" s="824"/>
      <c r="AD200" s="824"/>
    </row>
    <row r="201" spans="2:30" ht="14.5">
      <c r="B201" s="824"/>
      <c r="C201" s="824"/>
      <c r="D201" s="824"/>
      <c r="J201" s="824"/>
      <c r="X201" s="824"/>
      <c r="AA201" s="824"/>
      <c r="AB201" s="824"/>
      <c r="AC201" s="824"/>
      <c r="AD201" s="824"/>
    </row>
    <row r="202" spans="2:30" ht="14.5">
      <c r="B202" s="824"/>
      <c r="C202" s="824"/>
      <c r="D202" s="824"/>
      <c r="J202" s="824"/>
      <c r="X202" s="824"/>
      <c r="AA202" s="824"/>
      <c r="AB202" s="824"/>
      <c r="AC202" s="824"/>
      <c r="AD202" s="824"/>
    </row>
    <row r="203" spans="2:30" ht="14.5">
      <c r="B203" s="824"/>
      <c r="C203" s="824"/>
      <c r="D203" s="824"/>
      <c r="J203" s="824"/>
      <c r="X203" s="824"/>
      <c r="AA203" s="824"/>
      <c r="AB203" s="824"/>
      <c r="AC203" s="824"/>
      <c r="AD203" s="824"/>
    </row>
    <row r="204" spans="2:30" ht="14.5">
      <c r="B204" s="824"/>
      <c r="D204" s="824"/>
      <c r="J204" s="824"/>
      <c r="X204" s="824"/>
    </row>
    <row r="205" spans="2:30" ht="14.5">
      <c r="D205" s="824"/>
    </row>
    <row r="206" spans="2:30" ht="14.5">
      <c r="D206" s="824"/>
    </row>
    <row r="207" spans="2:30" ht="14.5">
      <c r="D207" s="824"/>
    </row>
    <row r="208" spans="2:30" ht="14.5">
      <c r="D208" s="824"/>
    </row>
    <row r="209" spans="4:4" ht="14.5">
      <c r="D209" s="824"/>
    </row>
    <row r="210" spans="4:4" ht="14.5">
      <c r="D210" s="824"/>
    </row>
  </sheetData>
  <hyperlinks>
    <hyperlink ref="A2" location="'START PAGE'!A1" display="Back to start page" xr:uid="{C21E1275-655C-4D9B-A28D-81DE4A6AF850}"/>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90113"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90113" r:id="rId4"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tabColor rgb="FFFFCD00"/>
    <pageSetUpPr fitToPage="1"/>
  </sheetPr>
  <dimension ref="A1:AU79"/>
  <sheetViews>
    <sheetView showGridLines="0" zoomScale="90" zoomScaleNormal="90" workbookViewId="0">
      <pane xSplit="1" ySplit="3" topLeftCell="B4" activePane="bottomRight" state="frozen"/>
      <selection activeCell="C75" sqref="C75"/>
      <selection pane="topRight" activeCell="C75" sqref="C75"/>
      <selection pane="bottomLeft" activeCell="C75" sqref="C75"/>
      <selection pane="bottomRight" activeCell="AL36" sqref="AL36"/>
    </sheetView>
  </sheetViews>
  <sheetFormatPr defaultColWidth="9" defaultRowHeight="10"/>
  <cols>
    <col min="1" max="1" width="45.5" style="1" customWidth="1"/>
    <col min="2" max="6" width="7.58203125" style="1" bestFit="1" customWidth="1"/>
    <col min="7" max="11" width="7.58203125" style="217" bestFit="1" customWidth="1"/>
    <col min="12" max="12" width="7.58203125" style="217" customWidth="1"/>
    <col min="13" max="13" width="8.5" style="1" customWidth="1"/>
    <col min="14" max="15" width="5.08203125" style="1" customWidth="1"/>
    <col min="16" max="16" width="5.08203125" style="95" customWidth="1"/>
    <col min="17" max="19" width="5.08203125" style="1" customWidth="1"/>
    <col min="20" max="20" width="5.08203125" style="95" customWidth="1"/>
    <col min="21" max="22" width="6" style="1" customWidth="1"/>
    <col min="23" max="23" width="5.58203125" style="1" customWidth="1"/>
    <col min="24" max="24" width="6" style="95" customWidth="1"/>
    <col min="25" max="26" width="5.58203125" style="1" customWidth="1"/>
    <col min="27" max="27" width="6" style="1" customWidth="1"/>
    <col min="28" max="28" width="6" style="95" customWidth="1"/>
    <col min="29" max="29" width="6" style="1" customWidth="1"/>
    <col min="30" max="30" width="5.58203125" style="1" customWidth="1"/>
    <col min="31" max="31" width="6" style="1" customWidth="1"/>
    <col min="32" max="32" width="6" style="95" customWidth="1"/>
    <col min="33" max="33" width="6" style="1" customWidth="1"/>
    <col min="34" max="35" width="5.58203125" style="1" customWidth="1"/>
    <col min="36" max="36" width="6" style="95" bestFit="1" customWidth="1"/>
    <col min="37" max="37" width="6" style="1" bestFit="1" customWidth="1"/>
    <col min="38" max="39" width="5.58203125" style="1" bestFit="1" customWidth="1"/>
    <col min="40" max="40" width="6" style="95" bestFit="1" customWidth="1"/>
    <col min="41" max="41" width="6" style="1" bestFit="1" customWidth="1"/>
    <col min="42" max="43" width="5.58203125" style="1" bestFit="1" customWidth="1"/>
    <col min="44" max="44" width="6" style="95" bestFit="1" customWidth="1"/>
    <col min="45" max="45" width="6" style="1" bestFit="1" customWidth="1"/>
    <col min="46" max="46" width="5.58203125" style="1" bestFit="1" customWidth="1"/>
    <col min="47" max="16384" width="9" style="1"/>
  </cols>
  <sheetData>
    <row r="1" spans="1:46" ht="16" thickBot="1">
      <c r="A1" s="100" t="s">
        <v>321</v>
      </c>
      <c r="B1" s="101" t="s">
        <v>222</v>
      </c>
      <c r="C1" s="102"/>
      <c r="D1" s="102"/>
      <c r="E1" s="102"/>
      <c r="F1" s="102"/>
      <c r="G1" s="218"/>
      <c r="H1" s="218"/>
      <c r="I1" s="218"/>
      <c r="J1" s="218"/>
      <c r="K1" s="218"/>
      <c r="L1" s="795"/>
      <c r="M1" s="101" t="s">
        <v>221</v>
      </c>
      <c r="N1" s="102"/>
      <c r="O1" s="102"/>
      <c r="P1" s="103"/>
      <c r="Q1" s="101"/>
      <c r="R1" s="102"/>
      <c r="S1" s="102"/>
      <c r="T1" s="103"/>
      <c r="U1" s="101"/>
      <c r="V1" s="102"/>
      <c r="W1" s="102"/>
      <c r="X1" s="103"/>
      <c r="Y1" s="101"/>
      <c r="Z1" s="102"/>
      <c r="AA1" s="102"/>
      <c r="AB1" s="103"/>
      <c r="AC1" s="101"/>
      <c r="AD1" s="101"/>
      <c r="AE1" s="101"/>
      <c r="AF1" s="103"/>
      <c r="AG1" s="101"/>
      <c r="AH1" s="101"/>
      <c r="AI1" s="101"/>
      <c r="AJ1" s="103"/>
      <c r="AK1" s="101"/>
      <c r="AL1" s="101"/>
      <c r="AM1" s="101"/>
      <c r="AN1" s="103"/>
      <c r="AO1" s="101"/>
      <c r="AP1" s="101"/>
      <c r="AQ1" s="101"/>
      <c r="AR1" s="103"/>
      <c r="AS1" s="101"/>
      <c r="AT1" s="101"/>
    </row>
    <row r="2" spans="1:46" ht="11" thickTop="1" thickBot="1">
      <c r="A2" s="823" t="s">
        <v>198</v>
      </c>
      <c r="L2" s="795"/>
    </row>
    <row r="3" spans="1:46" s="42" customFormat="1" ht="11" thickTop="1">
      <c r="A3" s="594" t="s">
        <v>209</v>
      </c>
      <c r="B3" s="595">
        <v>2015</v>
      </c>
      <c r="C3" s="595">
        <v>2016</v>
      </c>
      <c r="D3" s="596">
        <v>2017</v>
      </c>
      <c r="E3" s="596">
        <v>2018</v>
      </c>
      <c r="F3" s="596">
        <v>2019</v>
      </c>
      <c r="G3" s="596">
        <v>2020</v>
      </c>
      <c r="H3" s="596">
        <v>2021</v>
      </c>
      <c r="I3" s="596">
        <v>2022</v>
      </c>
      <c r="J3" s="596">
        <v>2023</v>
      </c>
      <c r="K3" s="596">
        <v>2024</v>
      </c>
      <c r="L3" s="795"/>
      <c r="M3" s="597" t="s">
        <v>769</v>
      </c>
      <c r="N3" s="597" t="s">
        <v>770</v>
      </c>
      <c r="O3" s="597" t="s">
        <v>771</v>
      </c>
      <c r="P3" s="598" t="s">
        <v>772</v>
      </c>
      <c r="Q3" s="597" t="s">
        <v>764</v>
      </c>
      <c r="R3" s="597" t="s">
        <v>765</v>
      </c>
      <c r="S3" s="597" t="s">
        <v>766</v>
      </c>
      <c r="T3" s="598" t="s">
        <v>767</v>
      </c>
      <c r="U3" s="597" t="s">
        <v>768</v>
      </c>
      <c r="V3" s="597" t="s">
        <v>730</v>
      </c>
      <c r="W3" s="597" t="s">
        <v>731</v>
      </c>
      <c r="X3" s="598" t="s">
        <v>732</v>
      </c>
      <c r="Y3" s="597" t="s">
        <v>733</v>
      </c>
      <c r="Z3" s="597" t="s">
        <v>626</v>
      </c>
      <c r="AA3" s="597" t="s">
        <v>620</v>
      </c>
      <c r="AB3" s="598" t="s">
        <v>619</v>
      </c>
      <c r="AC3" s="597" t="s">
        <v>614</v>
      </c>
      <c r="AD3" s="597" t="s">
        <v>604</v>
      </c>
      <c r="AE3" s="597" t="s">
        <v>589</v>
      </c>
      <c r="AF3" s="598" t="s">
        <v>587</v>
      </c>
      <c r="AG3" s="597" t="s">
        <v>504</v>
      </c>
      <c r="AH3" s="597" t="s">
        <v>551</v>
      </c>
      <c r="AI3" s="597" t="s">
        <v>532</v>
      </c>
      <c r="AJ3" s="598" t="s">
        <v>530</v>
      </c>
      <c r="AK3" s="597" t="s">
        <v>803</v>
      </c>
      <c r="AL3" s="597" t="s">
        <v>812</v>
      </c>
      <c r="AM3" s="597" t="s">
        <v>816</v>
      </c>
      <c r="AN3" s="598" t="s">
        <v>835</v>
      </c>
      <c r="AO3" s="597" t="s">
        <v>872</v>
      </c>
      <c r="AP3" s="597" t="s">
        <v>986</v>
      </c>
      <c r="AQ3" s="597" t="s">
        <v>1016</v>
      </c>
      <c r="AR3" s="598" t="s">
        <v>1039</v>
      </c>
      <c r="AS3" s="597" t="s">
        <v>1076</v>
      </c>
      <c r="AT3" s="597" t="s">
        <v>1285</v>
      </c>
    </row>
    <row r="4" spans="1:46" ht="10.5">
      <c r="A4" s="332" t="s">
        <v>284</v>
      </c>
      <c r="B4" s="333"/>
      <c r="C4" s="333"/>
      <c r="D4" s="123"/>
      <c r="E4" s="123"/>
      <c r="L4" s="795"/>
      <c r="AB4" s="360"/>
      <c r="AF4" s="360"/>
      <c r="AJ4" s="360"/>
      <c r="AN4" s="360"/>
      <c r="AR4" s="360"/>
    </row>
    <row r="5" spans="1:46">
      <c r="A5" s="334" t="s">
        <v>365</v>
      </c>
      <c r="B5" s="97">
        <v>27551</v>
      </c>
      <c r="C5" s="97">
        <v>27634</v>
      </c>
      <c r="D5" s="97">
        <v>33831</v>
      </c>
      <c r="E5" s="97">
        <v>39400.1129006642</v>
      </c>
      <c r="F5" s="97">
        <v>39492</v>
      </c>
      <c r="G5" s="97">
        <v>36579</v>
      </c>
      <c r="H5" s="97">
        <v>45648</v>
      </c>
      <c r="I5" s="97">
        <v>53222</v>
      </c>
      <c r="J5" s="97">
        <v>59332</v>
      </c>
      <c r="K5" s="97">
        <v>62213</v>
      </c>
      <c r="L5" s="795"/>
      <c r="Q5" s="97">
        <v>10036</v>
      </c>
      <c r="R5" s="97">
        <v>10483</v>
      </c>
      <c r="S5" s="97">
        <v>9413</v>
      </c>
      <c r="T5" s="93">
        <v>9468</v>
      </c>
      <c r="U5" s="97">
        <v>10063</v>
      </c>
      <c r="V5" s="97">
        <v>10553</v>
      </c>
      <c r="W5" s="97">
        <v>9600</v>
      </c>
      <c r="X5" s="93">
        <v>9276</v>
      </c>
      <c r="Y5" s="97">
        <v>9772</v>
      </c>
      <c r="Z5" s="97">
        <v>8105</v>
      </c>
      <c r="AA5" s="97">
        <v>9373</v>
      </c>
      <c r="AB5" s="93">
        <v>9330</v>
      </c>
      <c r="AC5" s="97">
        <v>10690</v>
      </c>
      <c r="AD5" s="97">
        <v>11070</v>
      </c>
      <c r="AE5" s="97">
        <v>12245</v>
      </c>
      <c r="AF5" s="93">
        <v>11643</v>
      </c>
      <c r="AG5" s="97">
        <v>13818</v>
      </c>
      <c r="AH5" s="97">
        <v>13377</v>
      </c>
      <c r="AI5" s="97">
        <v>12322</v>
      </c>
      <c r="AJ5" s="93">
        <v>13705</v>
      </c>
      <c r="AK5" s="97">
        <v>14715</v>
      </c>
      <c r="AL5" s="97">
        <v>15436</v>
      </c>
      <c r="AM5" s="97">
        <v>14360</v>
      </c>
      <c r="AN5" s="93">
        <v>14388</v>
      </c>
      <c r="AO5" s="97">
        <v>14162</v>
      </c>
      <c r="AP5" s="97">
        <v>16349</v>
      </c>
      <c r="AQ5" s="97">
        <v>15520</v>
      </c>
      <c r="AR5" s="93">
        <v>16182</v>
      </c>
      <c r="AS5" s="97">
        <v>16586</v>
      </c>
      <c r="AT5" s="97">
        <v>15276</v>
      </c>
    </row>
    <row r="6" spans="1:46">
      <c r="A6" s="334" t="s">
        <v>366</v>
      </c>
      <c r="B6" s="20">
        <v>0</v>
      </c>
      <c r="C6" s="20">
        <v>0</v>
      </c>
      <c r="D6" s="20">
        <v>22</v>
      </c>
      <c r="E6" s="20">
        <v>16</v>
      </c>
      <c r="F6" s="20">
        <v>0</v>
      </c>
      <c r="G6" s="20">
        <v>-7</v>
      </c>
      <c r="H6" s="20">
        <v>25</v>
      </c>
      <c r="I6" s="20">
        <v>17</v>
      </c>
      <c r="J6" s="20">
        <v>11</v>
      </c>
      <c r="K6" s="20">
        <v>6</v>
      </c>
      <c r="L6" s="795"/>
      <c r="Q6" s="20">
        <v>18</v>
      </c>
      <c r="R6" s="20">
        <v>21</v>
      </c>
      <c r="S6" s="20">
        <v>10</v>
      </c>
      <c r="T6" s="83">
        <v>17.498000000000001</v>
      </c>
      <c r="U6" s="20">
        <v>0</v>
      </c>
      <c r="V6" s="20">
        <v>1</v>
      </c>
      <c r="W6" s="20">
        <v>2</v>
      </c>
      <c r="X6" s="83">
        <v>-2</v>
      </c>
      <c r="Y6" s="20">
        <v>-3</v>
      </c>
      <c r="Z6" s="20">
        <v>-23</v>
      </c>
      <c r="AA6" s="20">
        <v>-2</v>
      </c>
      <c r="AB6" s="83">
        <v>1</v>
      </c>
      <c r="AC6" s="20">
        <v>9.3963882578770743</v>
      </c>
      <c r="AD6" s="20">
        <v>37</v>
      </c>
      <c r="AE6" s="20">
        <v>31</v>
      </c>
      <c r="AF6" s="83">
        <v>25</v>
      </c>
      <c r="AG6" s="20">
        <v>29</v>
      </c>
      <c r="AH6" s="20">
        <v>21</v>
      </c>
      <c r="AI6" s="20">
        <v>0.63081660927701844</v>
      </c>
      <c r="AJ6" s="83">
        <v>18</v>
      </c>
      <c r="AK6" s="20">
        <f>(AK5/AG5-1)*100</f>
        <v>6.4915327833261038</v>
      </c>
      <c r="AL6" s="20">
        <f>(AL5/AH5-1)*100</f>
        <v>15.392090902294985</v>
      </c>
      <c r="AM6" s="20">
        <v>17</v>
      </c>
      <c r="AN6" s="83">
        <v>4.9897708159625243</v>
      </c>
      <c r="AO6" s="20">
        <v>-7</v>
      </c>
      <c r="AP6" s="20">
        <v>6</v>
      </c>
      <c r="AQ6" s="20">
        <v>8</v>
      </c>
      <c r="AR6" s="83">
        <v>12.465572133699098</v>
      </c>
      <c r="AS6" s="20">
        <v>17.117023089295525</v>
      </c>
      <c r="AT6" s="20">
        <v>-6.5643811343973457</v>
      </c>
    </row>
    <row r="7" spans="1:46">
      <c r="A7" s="334" t="s">
        <v>367</v>
      </c>
      <c r="B7" s="20">
        <v>-6.6</v>
      </c>
      <c r="C7" s="20">
        <v>2.7</v>
      </c>
      <c r="D7" s="20">
        <v>20.100000000000001</v>
      </c>
      <c r="E7" s="20">
        <v>13</v>
      </c>
      <c r="F7" s="20">
        <v>-5</v>
      </c>
      <c r="G7" s="20">
        <v>0</v>
      </c>
      <c r="H7" s="20">
        <v>26</v>
      </c>
      <c r="I7" s="20">
        <v>2</v>
      </c>
      <c r="J7" s="20">
        <v>1</v>
      </c>
      <c r="K7" s="20">
        <v>3</v>
      </c>
      <c r="L7" s="795"/>
      <c r="Q7" s="20">
        <v>21</v>
      </c>
      <c r="R7" s="20">
        <v>18.082810848828263</v>
      </c>
      <c r="S7" s="20">
        <v>3</v>
      </c>
      <c r="T7" s="83">
        <v>11.497999999999999</v>
      </c>
      <c r="U7" s="20">
        <v>-5</v>
      </c>
      <c r="V7" s="20">
        <v>-4</v>
      </c>
      <c r="W7" s="20">
        <v>-6</v>
      </c>
      <c r="X7" s="83">
        <v>-7</v>
      </c>
      <c r="Y7" s="20">
        <v>-4</v>
      </c>
      <c r="Z7" s="20">
        <v>-17</v>
      </c>
      <c r="AA7" s="20">
        <v>10</v>
      </c>
      <c r="AB7" s="83">
        <v>13</v>
      </c>
      <c r="AC7" s="20">
        <v>21</v>
      </c>
      <c r="AD7" s="20">
        <v>45</v>
      </c>
      <c r="AE7" s="20">
        <v>24</v>
      </c>
      <c r="AF7" s="83">
        <v>19</v>
      </c>
      <c r="AG7" s="20">
        <v>18</v>
      </c>
      <c r="AH7" s="20">
        <v>6</v>
      </c>
      <c r="AI7" s="20">
        <v>-10</v>
      </c>
      <c r="AJ7" s="83">
        <v>-4</v>
      </c>
      <c r="AK7" s="20">
        <v>-6</v>
      </c>
      <c r="AL7" s="20">
        <v>-1</v>
      </c>
      <c r="AM7" s="20">
        <v>9</v>
      </c>
      <c r="AN7" s="83">
        <v>7</v>
      </c>
      <c r="AO7" s="20">
        <v>-3</v>
      </c>
      <c r="AP7" s="20">
        <v>1</v>
      </c>
      <c r="AQ7" s="20">
        <v>6</v>
      </c>
      <c r="AR7" s="83">
        <v>5</v>
      </c>
      <c r="AS7" s="20">
        <v>10</v>
      </c>
      <c r="AT7" s="20">
        <v>2</v>
      </c>
    </row>
    <row r="8" spans="1:46">
      <c r="A8" s="334" t="s">
        <v>264</v>
      </c>
      <c r="B8" s="97">
        <v>28663</v>
      </c>
      <c r="C8" s="97">
        <v>27102</v>
      </c>
      <c r="D8" s="97">
        <v>31363.994574501499</v>
      </c>
      <c r="E8" s="97">
        <v>38285.266855336195</v>
      </c>
      <c r="F8" s="97">
        <v>40849</v>
      </c>
      <c r="G8" s="97">
        <v>36122</v>
      </c>
      <c r="H8" s="97">
        <v>39645</v>
      </c>
      <c r="I8" s="97">
        <v>49694</v>
      </c>
      <c r="J8" s="97">
        <v>60343</v>
      </c>
      <c r="K8" s="97">
        <v>63604</v>
      </c>
      <c r="L8" s="795"/>
      <c r="M8" s="5">
        <v>7411</v>
      </c>
      <c r="N8" s="5">
        <v>7879</v>
      </c>
      <c r="O8" s="5">
        <v>7610</v>
      </c>
      <c r="P8" s="73">
        <v>8464</v>
      </c>
      <c r="Q8" s="97">
        <v>8233</v>
      </c>
      <c r="R8" s="97">
        <v>9843</v>
      </c>
      <c r="S8" s="97">
        <v>9651</v>
      </c>
      <c r="T8" s="93">
        <v>10558</v>
      </c>
      <c r="U8" s="97">
        <v>9785</v>
      </c>
      <c r="V8" s="97">
        <v>10626</v>
      </c>
      <c r="W8" s="97">
        <v>10158</v>
      </c>
      <c r="X8" s="93">
        <v>10280</v>
      </c>
      <c r="Y8" s="97">
        <v>9134</v>
      </c>
      <c r="Z8" s="97">
        <v>8458</v>
      </c>
      <c r="AA8" s="97">
        <v>8724</v>
      </c>
      <c r="AB8" s="93">
        <v>9806</v>
      </c>
      <c r="AC8" s="97">
        <v>8773</v>
      </c>
      <c r="AD8" s="97">
        <v>9733</v>
      </c>
      <c r="AE8" s="97">
        <v>9966</v>
      </c>
      <c r="AF8" s="93">
        <v>11173</v>
      </c>
      <c r="AG8" s="97">
        <v>11088</v>
      </c>
      <c r="AH8" s="97">
        <v>11868</v>
      </c>
      <c r="AI8" s="97">
        <v>12802</v>
      </c>
      <c r="AJ8" s="93">
        <v>13936</v>
      </c>
      <c r="AK8" s="97">
        <v>13868</v>
      </c>
      <c r="AL8" s="97">
        <v>15910</v>
      </c>
      <c r="AM8" s="97">
        <v>14997</v>
      </c>
      <c r="AN8" s="93">
        <v>15568</v>
      </c>
      <c r="AO8" s="97">
        <v>14143</v>
      </c>
      <c r="AP8" s="97">
        <v>16511</v>
      </c>
      <c r="AQ8" s="97">
        <v>15699</v>
      </c>
      <c r="AR8" s="93">
        <v>17251</v>
      </c>
      <c r="AS8" s="97">
        <v>15536</v>
      </c>
      <c r="AT8" s="97">
        <v>15130</v>
      </c>
    </row>
    <row r="9" spans="1:46">
      <c r="A9" s="334" t="s">
        <v>285</v>
      </c>
      <c r="B9" s="20">
        <v>4</v>
      </c>
      <c r="C9" s="20">
        <v>-5</v>
      </c>
      <c r="D9" s="20">
        <v>16</v>
      </c>
      <c r="E9" s="20">
        <v>22</v>
      </c>
      <c r="F9" s="20">
        <v>7</v>
      </c>
      <c r="G9" s="20">
        <v>-12</v>
      </c>
      <c r="H9" s="20">
        <v>10</v>
      </c>
      <c r="I9" s="20">
        <v>25</v>
      </c>
      <c r="J9" s="20">
        <v>21</v>
      </c>
      <c r="K9" s="20">
        <v>5</v>
      </c>
      <c r="L9" s="795"/>
      <c r="Q9" s="20">
        <v>11</v>
      </c>
      <c r="R9" s="20">
        <v>25</v>
      </c>
      <c r="S9" s="20">
        <v>27</v>
      </c>
      <c r="T9" s="83">
        <v>25</v>
      </c>
      <c r="U9" s="20">
        <v>19</v>
      </c>
      <c r="V9" s="20">
        <v>8</v>
      </c>
      <c r="W9" s="20">
        <v>5</v>
      </c>
      <c r="X9" s="83">
        <v>-3</v>
      </c>
      <c r="Y9" s="20">
        <v>-7</v>
      </c>
      <c r="Z9" s="20">
        <v>-20</v>
      </c>
      <c r="AA9" s="20">
        <v>-14</v>
      </c>
      <c r="AB9" s="83">
        <v>-5</v>
      </c>
      <c r="AC9" s="20">
        <v>-3.9467054561162951</v>
      </c>
      <c r="AD9" s="20">
        <v>15</v>
      </c>
      <c r="AE9" s="20">
        <v>14</v>
      </c>
      <c r="AF9" s="83">
        <v>14</v>
      </c>
      <c r="AG9" s="20">
        <v>26</v>
      </c>
      <c r="AH9" s="20">
        <v>22</v>
      </c>
      <c r="AI9" s="20">
        <v>28.441717031319634</v>
      </c>
      <c r="AJ9" s="83">
        <v>24.73685913560373</v>
      </c>
      <c r="AK9" s="20">
        <v>25</v>
      </c>
      <c r="AL9" s="20">
        <v>34</v>
      </c>
      <c r="AM9" s="20">
        <v>17</v>
      </c>
      <c r="AN9" s="83">
        <v>11.711498950774324</v>
      </c>
      <c r="AO9" s="20">
        <v>2</v>
      </c>
      <c r="AP9" s="20">
        <v>4</v>
      </c>
      <c r="AQ9" s="20">
        <v>4.686060133717973</v>
      </c>
      <c r="AR9" s="83">
        <v>10.80075738116404</v>
      </c>
      <c r="AS9" s="20">
        <v>9.8514790026356316</v>
      </c>
      <c r="AT9" s="20">
        <v>-8.363501405872654</v>
      </c>
    </row>
    <row r="10" spans="1:46">
      <c r="A10" s="334" t="s">
        <v>368</v>
      </c>
      <c r="B10" s="20">
        <v>-3.2</v>
      </c>
      <c r="C10" s="20">
        <v>-3.4</v>
      </c>
      <c r="D10" s="20">
        <v>14.22</v>
      </c>
      <c r="E10" s="20">
        <v>18</v>
      </c>
      <c r="F10" s="20">
        <v>1</v>
      </c>
      <c r="G10" s="20">
        <v>-5</v>
      </c>
      <c r="H10" s="20">
        <v>12</v>
      </c>
      <c r="I10" s="20">
        <v>11</v>
      </c>
      <c r="J10" s="20">
        <v>9</v>
      </c>
      <c r="K10" s="20">
        <v>2</v>
      </c>
      <c r="L10" s="795"/>
      <c r="Q10" s="20">
        <v>13.7346913034308</v>
      </c>
      <c r="R10" s="20">
        <v>21.759477415893503</v>
      </c>
      <c r="S10" s="20">
        <v>19</v>
      </c>
      <c r="T10" s="83">
        <v>19</v>
      </c>
      <c r="U10" s="20">
        <v>14</v>
      </c>
      <c r="V10" s="20">
        <v>3</v>
      </c>
      <c r="W10" s="20">
        <v>-3</v>
      </c>
      <c r="X10" s="83">
        <v>-7</v>
      </c>
      <c r="Y10" s="20">
        <v>-8</v>
      </c>
      <c r="Z10" s="20">
        <v>-15</v>
      </c>
      <c r="AA10" s="20">
        <v>-3</v>
      </c>
      <c r="AB10" s="83">
        <v>6</v>
      </c>
      <c r="AC10" s="20">
        <v>6</v>
      </c>
      <c r="AD10" s="20">
        <v>22</v>
      </c>
      <c r="AE10" s="20">
        <v>11</v>
      </c>
      <c r="AF10" s="83">
        <v>9</v>
      </c>
      <c r="AG10" s="20">
        <v>14</v>
      </c>
      <c r="AH10" s="20">
        <v>9</v>
      </c>
      <c r="AI10" s="20">
        <v>12</v>
      </c>
      <c r="AJ10" s="83">
        <v>8</v>
      </c>
      <c r="AK10" s="20">
        <v>8</v>
      </c>
      <c r="AL10" s="20">
        <v>17</v>
      </c>
      <c r="AM10" s="20">
        <v>7</v>
      </c>
      <c r="AN10" s="83">
        <v>8</v>
      </c>
      <c r="AO10" s="20">
        <v>3</v>
      </c>
      <c r="AP10" s="20">
        <v>-1</v>
      </c>
      <c r="AQ10" s="20">
        <v>3</v>
      </c>
      <c r="AR10" s="83">
        <v>4</v>
      </c>
      <c r="AS10" s="20">
        <v>3</v>
      </c>
      <c r="AT10" s="20">
        <v>1</v>
      </c>
    </row>
    <row r="11" spans="1:46">
      <c r="A11" s="334" t="s">
        <v>369</v>
      </c>
      <c r="B11" s="346">
        <v>96</v>
      </c>
      <c r="C11" s="347">
        <v>102</v>
      </c>
      <c r="D11" s="347">
        <v>108</v>
      </c>
      <c r="E11" s="347">
        <v>102.91236776805536</v>
      </c>
      <c r="F11" s="347">
        <v>96.678009253592506</v>
      </c>
      <c r="G11" s="347">
        <v>99</v>
      </c>
      <c r="H11" s="347">
        <v>115</v>
      </c>
      <c r="I11" s="347">
        <v>107</v>
      </c>
      <c r="J11" s="347">
        <v>98</v>
      </c>
      <c r="K11" s="347">
        <v>98</v>
      </c>
      <c r="L11" s="795"/>
      <c r="Q11" s="347">
        <v>121.89967205150005</v>
      </c>
      <c r="R11" s="347">
        <v>106.50208269836432</v>
      </c>
      <c r="S11" s="347">
        <v>97.533934307325666</v>
      </c>
      <c r="T11" s="348">
        <v>89.676075014207228</v>
      </c>
      <c r="U11" s="347">
        <v>102.84108329075114</v>
      </c>
      <c r="V11" s="347">
        <v>99.313005834744956</v>
      </c>
      <c r="W11" s="347">
        <v>94.506792675723574</v>
      </c>
      <c r="X11" s="348">
        <v>90.233463035019454</v>
      </c>
      <c r="Y11" s="347">
        <v>107</v>
      </c>
      <c r="Z11" s="347">
        <v>95.826436509813192</v>
      </c>
      <c r="AA11" s="347">
        <v>107.43924805135259</v>
      </c>
      <c r="AB11" s="348">
        <v>95.135631246175805</v>
      </c>
      <c r="AC11" s="347">
        <v>121.85113416163229</v>
      </c>
      <c r="AD11" s="347">
        <v>114</v>
      </c>
      <c r="AE11" s="347">
        <v>123</v>
      </c>
      <c r="AF11" s="348">
        <v>104.2</v>
      </c>
      <c r="AG11" s="347">
        <v>124.6</v>
      </c>
      <c r="AH11" s="347">
        <v>112.71486349848333</v>
      </c>
      <c r="AI11" s="347">
        <v>96.250585845961567</v>
      </c>
      <c r="AJ11" s="348">
        <v>98</v>
      </c>
      <c r="AK11" s="347">
        <v>109.22988174214019</v>
      </c>
      <c r="AL11" s="347">
        <v>97</v>
      </c>
      <c r="AM11" s="347">
        <v>95.752483830099351</v>
      </c>
      <c r="AN11" s="348">
        <v>92.420349434737929</v>
      </c>
      <c r="AO11" s="347">
        <v>100.13434207735274</v>
      </c>
      <c r="AP11" s="347">
        <v>99.018835927563444</v>
      </c>
      <c r="AQ11" s="347">
        <v>98.859799987260331</v>
      </c>
      <c r="AR11" s="348">
        <v>93.803257782157559</v>
      </c>
      <c r="AS11" s="347">
        <v>106.7584963954686</v>
      </c>
      <c r="AT11" s="347">
        <v>100.96497025776603</v>
      </c>
    </row>
    <row r="12" spans="1:46">
      <c r="A12" s="334"/>
      <c r="B12" s="337"/>
      <c r="C12" s="337"/>
      <c r="D12" s="122"/>
      <c r="E12" s="122"/>
      <c r="L12" s="795"/>
    </row>
    <row r="13" spans="1:46" ht="10.5">
      <c r="A13" s="332" t="s">
        <v>286</v>
      </c>
      <c r="B13" s="337"/>
      <c r="C13" s="337"/>
      <c r="D13" s="122"/>
      <c r="E13" s="122"/>
      <c r="L13" s="795"/>
    </row>
    <row r="14" spans="1:46">
      <c r="A14" s="334" t="s">
        <v>1</v>
      </c>
      <c r="B14" s="5">
        <v>-18463</v>
      </c>
      <c r="C14" s="5">
        <v>-18003</v>
      </c>
      <c r="D14" s="5">
        <v>-20101</v>
      </c>
      <c r="E14" s="5">
        <v>-24317</v>
      </c>
      <c r="F14" s="5">
        <v>-25547</v>
      </c>
      <c r="G14" s="5">
        <v>-22418</v>
      </c>
      <c r="H14" s="5">
        <v>-24192</v>
      </c>
      <c r="I14" s="5">
        <v>-30675</v>
      </c>
      <c r="J14" s="5">
        <v>-37197</v>
      </c>
      <c r="K14" s="5">
        <v>-40658</v>
      </c>
      <c r="L14" s="795"/>
      <c r="M14" s="97">
        <v>-4674</v>
      </c>
      <c r="N14" s="97">
        <v>-4990</v>
      </c>
      <c r="O14" s="97">
        <v>-4874</v>
      </c>
      <c r="P14" s="93">
        <v>-5563</v>
      </c>
      <c r="Q14" s="5">
        <v>-5226</v>
      </c>
      <c r="R14" s="5">
        <v>-6275</v>
      </c>
      <c r="S14" s="5">
        <v>-6095</v>
      </c>
      <c r="T14" s="73">
        <v>-6721</v>
      </c>
      <c r="U14" s="5">
        <v>-6189</v>
      </c>
      <c r="V14" s="5">
        <v>-6550</v>
      </c>
      <c r="W14" s="5">
        <v>-6431</v>
      </c>
      <c r="X14" s="73">
        <v>-6377</v>
      </c>
      <c r="Y14" s="5">
        <v>-5571</v>
      </c>
      <c r="Z14" s="5">
        <v>-5309</v>
      </c>
      <c r="AA14" s="5">
        <v>-5469</v>
      </c>
      <c r="AB14" s="73">
        <v>-6069</v>
      </c>
      <c r="AC14" s="5">
        <v>-5433</v>
      </c>
      <c r="AD14" s="5">
        <v>-5898</v>
      </c>
      <c r="AE14" s="5">
        <v>-5999</v>
      </c>
      <c r="AF14" s="73">
        <v>-6862</v>
      </c>
      <c r="AG14" s="5">
        <v>-6831</v>
      </c>
      <c r="AH14" s="5">
        <v>-7813</v>
      </c>
      <c r="AI14" s="5">
        <v>-7889</v>
      </c>
      <c r="AJ14" s="73">
        <v>-8142</v>
      </c>
      <c r="AK14" s="5">
        <v>-8272</v>
      </c>
      <c r="AL14" s="5">
        <v>-9887</v>
      </c>
      <c r="AM14" s="5">
        <v>-9218</v>
      </c>
      <c r="AN14" s="73">
        <v>-9820</v>
      </c>
      <c r="AO14" s="5">
        <v>-8961</v>
      </c>
      <c r="AP14" s="5">
        <v>-10562</v>
      </c>
      <c r="AQ14" s="5">
        <v>-9874</v>
      </c>
      <c r="AR14" s="73">
        <v>-11261</v>
      </c>
      <c r="AS14" s="5">
        <v>-9396</v>
      </c>
      <c r="AT14" s="5">
        <v>-9459</v>
      </c>
    </row>
    <row r="15" spans="1:46">
      <c r="A15" s="334" t="s">
        <v>4</v>
      </c>
      <c r="B15" s="5">
        <v>-1848</v>
      </c>
      <c r="C15" s="5">
        <v>-1879</v>
      </c>
      <c r="D15" s="5">
        <v>-2121</v>
      </c>
      <c r="E15" s="5">
        <v>-2589</v>
      </c>
      <c r="F15" s="5">
        <v>-3261</v>
      </c>
      <c r="G15" s="5">
        <v>-2817</v>
      </c>
      <c r="H15" s="5">
        <v>-3166</v>
      </c>
      <c r="I15" s="5">
        <v>-3628</v>
      </c>
      <c r="J15" s="5">
        <v>-4105</v>
      </c>
      <c r="K15" s="5">
        <v>-4531</v>
      </c>
      <c r="L15" s="795"/>
      <c r="M15" s="1">
        <v>-533</v>
      </c>
      <c r="N15" s="1">
        <v>-550</v>
      </c>
      <c r="O15" s="1">
        <v>-469</v>
      </c>
      <c r="P15" s="95">
        <v>-569</v>
      </c>
      <c r="Q15" s="1">
        <v>-564</v>
      </c>
      <c r="R15" s="1">
        <v>-713</v>
      </c>
      <c r="S15" s="1">
        <v>-691</v>
      </c>
      <c r="T15" s="95">
        <v>-621</v>
      </c>
      <c r="U15" s="1">
        <v>-784</v>
      </c>
      <c r="V15" s="1">
        <v>-803</v>
      </c>
      <c r="W15" s="1">
        <v>-826</v>
      </c>
      <c r="X15" s="95">
        <v>-848</v>
      </c>
      <c r="Y15" s="1">
        <v>-667</v>
      </c>
      <c r="Z15" s="1">
        <v>-795</v>
      </c>
      <c r="AA15" s="1">
        <v>-668</v>
      </c>
      <c r="AB15" s="95">
        <v>-687</v>
      </c>
      <c r="AC15" s="1">
        <v>-819</v>
      </c>
      <c r="AD15" s="1">
        <v>-732</v>
      </c>
      <c r="AE15" s="1">
        <v>-692</v>
      </c>
      <c r="AF15" s="95">
        <v>-923</v>
      </c>
      <c r="AG15" s="1">
        <v>-721</v>
      </c>
      <c r="AH15" s="1">
        <v>-818</v>
      </c>
      <c r="AI15" s="1">
        <v>-903</v>
      </c>
      <c r="AJ15" s="93">
        <v>-1186</v>
      </c>
      <c r="AK15" s="1">
        <v>-969</v>
      </c>
      <c r="AL15" s="1">
        <v>-1071</v>
      </c>
      <c r="AM15" s="1">
        <v>-974</v>
      </c>
      <c r="AN15" s="93">
        <v>-1091</v>
      </c>
      <c r="AO15" s="5">
        <v>-1124</v>
      </c>
      <c r="AP15" s="97">
        <v>-1237</v>
      </c>
      <c r="AQ15" s="97">
        <v>-1069</v>
      </c>
      <c r="AR15" s="93">
        <v>-1101</v>
      </c>
      <c r="AS15" s="5">
        <v>-1200</v>
      </c>
      <c r="AT15" s="97">
        <v>-1093</v>
      </c>
    </row>
    <row r="16" spans="1:46">
      <c r="A16" s="334" t="s">
        <v>3</v>
      </c>
      <c r="B16" s="5">
        <v>-2346</v>
      </c>
      <c r="C16" s="5">
        <v>-2164</v>
      </c>
      <c r="D16" s="5">
        <v>-2280</v>
      </c>
      <c r="E16" s="5">
        <v>-2574</v>
      </c>
      <c r="F16" s="5">
        <v>-2797</v>
      </c>
      <c r="G16" s="5">
        <v>-2225</v>
      </c>
      <c r="H16" s="5">
        <v>-2313</v>
      </c>
      <c r="I16" s="5">
        <v>-3042</v>
      </c>
      <c r="J16" s="5">
        <v>-3959</v>
      </c>
      <c r="K16" s="5">
        <v>-4250</v>
      </c>
      <c r="L16" s="795"/>
      <c r="M16" s="1">
        <v>-561</v>
      </c>
      <c r="N16" s="1">
        <v>-596</v>
      </c>
      <c r="O16" s="1">
        <v>-526</v>
      </c>
      <c r="P16" s="95">
        <v>-597</v>
      </c>
      <c r="Q16" s="1">
        <v>-600</v>
      </c>
      <c r="R16" s="1">
        <v>-676</v>
      </c>
      <c r="S16" s="1">
        <v>-630</v>
      </c>
      <c r="T16" s="95">
        <v>-668</v>
      </c>
      <c r="U16" s="1">
        <v>-663</v>
      </c>
      <c r="V16" s="1">
        <v>-710</v>
      </c>
      <c r="W16" s="1">
        <v>-734</v>
      </c>
      <c r="X16" s="95">
        <v>-690</v>
      </c>
      <c r="Y16" s="1">
        <v>-664</v>
      </c>
      <c r="Z16" s="1">
        <v>-543</v>
      </c>
      <c r="AA16" s="1">
        <v>-501</v>
      </c>
      <c r="AB16" s="95">
        <v>-517</v>
      </c>
      <c r="AC16" s="1">
        <v>-528</v>
      </c>
      <c r="AD16" s="1">
        <v>-570</v>
      </c>
      <c r="AE16" s="1">
        <v>-582</v>
      </c>
      <c r="AF16" s="95">
        <v>-633</v>
      </c>
      <c r="AG16" s="1">
        <v>-641</v>
      </c>
      <c r="AH16" s="1">
        <v>-767</v>
      </c>
      <c r="AI16" s="1">
        <v>-782</v>
      </c>
      <c r="AJ16" s="95">
        <v>-852</v>
      </c>
      <c r="AK16" s="97">
        <v>-926</v>
      </c>
      <c r="AL16" s="97">
        <v>-1012</v>
      </c>
      <c r="AM16" s="97">
        <v>-1001</v>
      </c>
      <c r="AN16" s="93">
        <v>-1020</v>
      </c>
      <c r="AO16" s="97">
        <v>-953</v>
      </c>
      <c r="AP16" s="97">
        <v>-1131</v>
      </c>
      <c r="AQ16" s="97">
        <v>-1075</v>
      </c>
      <c r="AR16" s="93">
        <v>-1091</v>
      </c>
      <c r="AS16" s="97">
        <v>-1025</v>
      </c>
      <c r="AT16" s="97">
        <v>-1009</v>
      </c>
    </row>
    <row r="17" spans="1:46">
      <c r="A17" s="334" t="s">
        <v>287</v>
      </c>
      <c r="B17" s="5">
        <v>-861</v>
      </c>
      <c r="C17" s="5">
        <v>-662</v>
      </c>
      <c r="D17" s="5">
        <v>-795</v>
      </c>
      <c r="E17" s="5">
        <v>-977</v>
      </c>
      <c r="F17" s="5">
        <v>-1035</v>
      </c>
      <c r="G17" s="5">
        <v>-1032</v>
      </c>
      <c r="H17" s="5">
        <v>-1172</v>
      </c>
      <c r="I17" s="5">
        <v>-1438</v>
      </c>
      <c r="J17" s="5">
        <v>-1930</v>
      </c>
      <c r="K17" s="5">
        <v>-2282</v>
      </c>
      <c r="L17" s="795"/>
      <c r="M17" s="1">
        <v>-190</v>
      </c>
      <c r="N17" s="1">
        <v>-184</v>
      </c>
      <c r="O17" s="1">
        <v>-189</v>
      </c>
      <c r="P17" s="95">
        <v>-232</v>
      </c>
      <c r="Q17" s="1">
        <v>-222</v>
      </c>
      <c r="R17" s="1">
        <v>-257</v>
      </c>
      <c r="S17" s="1">
        <v>-217</v>
      </c>
      <c r="T17" s="95">
        <v>-281</v>
      </c>
      <c r="U17" s="1">
        <v>-275</v>
      </c>
      <c r="V17" s="1">
        <v>-271</v>
      </c>
      <c r="W17" s="1">
        <v>-227</v>
      </c>
      <c r="X17" s="95">
        <v>-262</v>
      </c>
      <c r="Y17" s="1">
        <v>-271</v>
      </c>
      <c r="Z17" s="1">
        <v>-287</v>
      </c>
      <c r="AA17" s="1">
        <v>-231</v>
      </c>
      <c r="AB17" s="95">
        <v>-243</v>
      </c>
      <c r="AC17" s="1">
        <v>-229</v>
      </c>
      <c r="AD17" s="1">
        <v>-283</v>
      </c>
      <c r="AE17" s="1">
        <v>-300</v>
      </c>
      <c r="AF17" s="95">
        <v>-360</v>
      </c>
      <c r="AG17" s="1">
        <v>-319</v>
      </c>
      <c r="AH17" s="1">
        <v>-363</v>
      </c>
      <c r="AI17" s="1">
        <v>-360</v>
      </c>
      <c r="AJ17" s="95">
        <v>-396</v>
      </c>
      <c r="AK17" s="97">
        <v>-452</v>
      </c>
      <c r="AL17" s="97">
        <v>-497</v>
      </c>
      <c r="AM17" s="97">
        <v>-517</v>
      </c>
      <c r="AN17" s="93">
        <v>-464</v>
      </c>
      <c r="AO17" s="97">
        <v>-461</v>
      </c>
      <c r="AP17" s="97">
        <v>-537</v>
      </c>
      <c r="AQ17" s="97">
        <v>-771</v>
      </c>
      <c r="AR17" s="93">
        <v>-513</v>
      </c>
      <c r="AS17" s="97">
        <v>-500</v>
      </c>
      <c r="AT17" s="97">
        <v>-505</v>
      </c>
    </row>
    <row r="18" spans="1:46">
      <c r="A18" s="334" t="s">
        <v>288</v>
      </c>
      <c r="B18" s="402">
        <f>-B17/B8*100</f>
        <v>3.0038725883543242</v>
      </c>
      <c r="C18" s="402">
        <f t="shared" ref="C18:P18" si="0">-C17/C8*100</f>
        <v>2.4426241605785552</v>
      </c>
      <c r="D18" s="402">
        <f t="shared" si="0"/>
        <v>2.5347536587266348</v>
      </c>
      <c r="E18" s="402">
        <f t="shared" si="0"/>
        <v>2.5518954946603065</v>
      </c>
      <c r="F18" s="402">
        <f t="shared" si="0"/>
        <v>2.5337217557345344</v>
      </c>
      <c r="G18" s="402">
        <f t="shared" ref="G18" si="1">-G17/G8*100</f>
        <v>2.8569846630862079</v>
      </c>
      <c r="H18" s="402">
        <v>3</v>
      </c>
      <c r="I18" s="402">
        <v>2.8937095021531798</v>
      </c>
      <c r="J18" s="402">
        <v>3.2</v>
      </c>
      <c r="K18" s="188">
        <v>3.5870000000000002</v>
      </c>
      <c r="L18" s="795"/>
      <c r="M18" s="402">
        <f t="shared" si="0"/>
        <v>2.5637565780596412</v>
      </c>
      <c r="N18" s="402">
        <f t="shared" si="0"/>
        <v>2.335321741337733</v>
      </c>
      <c r="O18" s="402">
        <f t="shared" si="0"/>
        <v>2.4835742444152431</v>
      </c>
      <c r="P18" s="403">
        <f t="shared" si="0"/>
        <v>2.7410207939508506</v>
      </c>
      <c r="Q18" s="402">
        <f t="shared" ref="Q18" si="2">-Q17/Q8*100</f>
        <v>2.6964654439450992</v>
      </c>
      <c r="R18" s="402">
        <f t="shared" ref="R18" si="3">-R17/R8*100</f>
        <v>2.6109925835619223</v>
      </c>
      <c r="S18" s="402">
        <f t="shared" ref="S18" si="4">-S17/S8*100</f>
        <v>2.2484716609677755</v>
      </c>
      <c r="T18" s="403">
        <f t="shared" ref="T18" si="5">-T17/T8*100</f>
        <v>2.6614889183557491</v>
      </c>
      <c r="U18" s="402">
        <f t="shared" ref="U18" si="6">-U17/U8*100</f>
        <v>2.810424118548799</v>
      </c>
      <c r="V18" s="402">
        <f t="shared" ref="V18" si="7">-V17/V8*100</f>
        <v>2.5503482025221156</v>
      </c>
      <c r="W18" s="402">
        <f t="shared" ref="W18" si="8">-W17/W8*100</f>
        <v>2.234691868478047</v>
      </c>
      <c r="X18" s="403">
        <f t="shared" ref="X18" si="9">-X17/X8*100</f>
        <v>2.5486381322957197</v>
      </c>
      <c r="Y18" s="402">
        <f t="shared" ref="Y18" si="10">-Y17/Y8*100</f>
        <v>2.9669367199474492</v>
      </c>
      <c r="Z18" s="402">
        <f t="shared" ref="Z18" si="11">-Z17/Z8*100</f>
        <v>3.3932371719082526</v>
      </c>
      <c r="AA18" s="402">
        <f>-AA17/AA8*100</f>
        <v>2.6478679504814306</v>
      </c>
      <c r="AB18" s="403">
        <f t="shared" ref="AB18" si="12">-AB17/AB8*100</f>
        <v>2.4780746481745868</v>
      </c>
      <c r="AC18" s="404">
        <f>-AC17/AC8*100</f>
        <v>2.6102815456514308</v>
      </c>
      <c r="AD18" s="402">
        <f>-AD17/AD8*100</f>
        <v>2.9076338230761327</v>
      </c>
      <c r="AE18" s="402">
        <v>3</v>
      </c>
      <c r="AF18" s="403">
        <v>3.2</v>
      </c>
      <c r="AG18" s="404">
        <v>2.9</v>
      </c>
      <c r="AH18" s="402">
        <v>3.0586450960566198</v>
      </c>
      <c r="AI18" s="402">
        <v>2.8120606155288201</v>
      </c>
      <c r="AJ18" s="403">
        <v>2.8415614236509801</v>
      </c>
      <c r="AK18" s="404">
        <v>3.2593019901932498</v>
      </c>
      <c r="AL18" s="402">
        <v>3.1</v>
      </c>
      <c r="AM18" s="402">
        <v>3.4</v>
      </c>
      <c r="AN18" s="708">
        <v>3</v>
      </c>
      <c r="AO18" s="404">
        <v>3.3</v>
      </c>
      <c r="AP18" s="402">
        <v>3.25</v>
      </c>
      <c r="AQ18" s="402">
        <v>4.9111408369959904</v>
      </c>
      <c r="AR18" s="708">
        <v>2.9740000000000002</v>
      </c>
      <c r="AS18" s="404">
        <v>3.2183316168898002</v>
      </c>
      <c r="AT18" s="402">
        <v>3.33773959021811</v>
      </c>
    </row>
    <row r="19" spans="1:46">
      <c r="A19" s="334"/>
      <c r="B19" s="338"/>
      <c r="C19" s="338"/>
      <c r="D19" s="4"/>
      <c r="E19" s="4"/>
      <c r="J19" s="1"/>
      <c r="K19" s="1"/>
      <c r="L19" s="795"/>
    </row>
    <row r="20" spans="1:46" ht="10.5">
      <c r="A20" s="332" t="s">
        <v>289</v>
      </c>
      <c r="B20" s="338"/>
      <c r="C20" s="338"/>
      <c r="D20" s="4"/>
      <c r="E20" s="4"/>
      <c r="L20" s="795"/>
    </row>
    <row r="21" spans="1:46">
      <c r="A21" s="334" t="s">
        <v>290</v>
      </c>
      <c r="B21" s="5">
        <v>10200</v>
      </c>
      <c r="C21" s="5">
        <v>9099</v>
      </c>
      <c r="D21" s="5">
        <v>11263</v>
      </c>
      <c r="E21" s="5">
        <v>13968</v>
      </c>
      <c r="F21" s="5">
        <v>15302</v>
      </c>
      <c r="G21" s="5">
        <v>13704</v>
      </c>
      <c r="H21" s="5">
        <v>15453</v>
      </c>
      <c r="I21" s="5">
        <v>19019</v>
      </c>
      <c r="J21" s="5">
        <v>23146</v>
      </c>
      <c r="K21" s="5">
        <v>22946</v>
      </c>
      <c r="L21" s="795"/>
      <c r="M21" s="5">
        <v>2737</v>
      </c>
      <c r="N21" s="5">
        <v>2889</v>
      </c>
      <c r="O21" s="5">
        <v>2736</v>
      </c>
      <c r="P21" s="73">
        <v>2901</v>
      </c>
      <c r="Q21" s="5">
        <v>3007</v>
      </c>
      <c r="R21" s="5">
        <v>3568</v>
      </c>
      <c r="S21" s="5">
        <v>3556</v>
      </c>
      <c r="T21" s="73">
        <v>3837</v>
      </c>
      <c r="U21" s="5">
        <v>3596</v>
      </c>
      <c r="V21" s="5">
        <v>4076</v>
      </c>
      <c r="W21" s="5">
        <v>3727</v>
      </c>
      <c r="X21" s="73">
        <v>3903</v>
      </c>
      <c r="Y21" s="5">
        <v>3563</v>
      </c>
      <c r="Z21" s="5">
        <v>3149</v>
      </c>
      <c r="AA21" s="5">
        <v>3255</v>
      </c>
      <c r="AB21" s="73">
        <v>3737</v>
      </c>
      <c r="AC21" s="5">
        <v>3340</v>
      </c>
      <c r="AD21" s="5">
        <v>3835</v>
      </c>
      <c r="AE21" s="5">
        <v>3967</v>
      </c>
      <c r="AF21" s="73">
        <v>4311</v>
      </c>
      <c r="AG21" s="5">
        <v>4257</v>
      </c>
      <c r="AH21" s="5">
        <v>4055</v>
      </c>
      <c r="AI21" s="5">
        <v>4913</v>
      </c>
      <c r="AJ21" s="73">
        <v>5794</v>
      </c>
      <c r="AK21" s="5">
        <v>5596</v>
      </c>
      <c r="AL21" s="5">
        <v>6023</v>
      </c>
      <c r="AM21" s="5">
        <v>5779</v>
      </c>
      <c r="AN21" s="73">
        <v>5748</v>
      </c>
      <c r="AO21" s="5">
        <v>5182</v>
      </c>
      <c r="AP21" s="5">
        <v>5949</v>
      </c>
      <c r="AQ21" s="5">
        <v>5825</v>
      </c>
      <c r="AR21" s="73">
        <v>5990</v>
      </c>
      <c r="AS21" s="5">
        <v>6140</v>
      </c>
      <c r="AT21" s="5">
        <v>5671</v>
      </c>
    </row>
    <row r="22" spans="1:46">
      <c r="A22" s="334" t="s">
        <v>370</v>
      </c>
      <c r="B22" s="341">
        <f>B21/B8*100</f>
        <v>35.58594703973764</v>
      </c>
      <c r="C22" s="341">
        <f t="shared" ref="C22:F22" si="13">C21/C8*100</f>
        <v>33.573168031879561</v>
      </c>
      <c r="D22" s="341">
        <f t="shared" si="13"/>
        <v>35.910604349985014</v>
      </c>
      <c r="E22" s="341">
        <f t="shared" si="13"/>
        <v>36.484008464089214</v>
      </c>
      <c r="F22" s="341">
        <f t="shared" si="13"/>
        <v>37.45991333937183</v>
      </c>
      <c r="G22" s="341">
        <f t="shared" ref="G22" si="14">G21/G8*100</f>
        <v>37.938098665633127</v>
      </c>
      <c r="H22" s="341">
        <v>39</v>
      </c>
      <c r="I22" s="341">
        <v>38.299999999999997</v>
      </c>
      <c r="J22" s="341">
        <v>38.4</v>
      </c>
      <c r="K22" s="341">
        <v>36.1</v>
      </c>
      <c r="L22" s="795"/>
      <c r="M22" s="341">
        <f>M21/M8*100</f>
        <v>36.931588179732827</v>
      </c>
      <c r="N22" s="341">
        <f t="shared" ref="N22:AB22" si="15">N21/N8*100</f>
        <v>36.667089732199521</v>
      </c>
      <c r="O22" s="341">
        <f t="shared" si="15"/>
        <v>35.952693823915901</v>
      </c>
      <c r="P22" s="358">
        <f t="shared" si="15"/>
        <v>34.274574669187146</v>
      </c>
      <c r="Q22" s="341">
        <f t="shared" si="15"/>
        <v>36.523745900643753</v>
      </c>
      <c r="R22" s="341">
        <f t="shared" si="15"/>
        <v>36.249111043381085</v>
      </c>
      <c r="S22" s="341">
        <f t="shared" si="15"/>
        <v>36.845922702310638</v>
      </c>
      <c r="T22" s="358">
        <f t="shared" si="15"/>
        <v>36.342110248153062</v>
      </c>
      <c r="U22" s="341">
        <f t="shared" si="15"/>
        <v>36.750127746550845</v>
      </c>
      <c r="V22" s="341">
        <f t="shared" si="15"/>
        <v>38.35874270656879</v>
      </c>
      <c r="W22" s="341">
        <f t="shared" si="15"/>
        <v>36.690293364835597</v>
      </c>
      <c r="X22" s="358">
        <f t="shared" si="15"/>
        <v>37.966926070038909</v>
      </c>
      <c r="Y22" s="341">
        <f t="shared" si="15"/>
        <v>39.008101598423472</v>
      </c>
      <c r="Z22" s="341">
        <f t="shared" si="15"/>
        <v>37.231023882714595</v>
      </c>
      <c r="AA22" s="341">
        <f t="shared" si="15"/>
        <v>37.310866574965615</v>
      </c>
      <c r="AB22" s="358">
        <f t="shared" si="15"/>
        <v>38.109320823985314</v>
      </c>
      <c r="AC22" s="341">
        <v>38.071355294654055</v>
      </c>
      <c r="AD22" s="341">
        <v>39.4</v>
      </c>
      <c r="AE22" s="341">
        <v>39.799999999999997</v>
      </c>
      <c r="AF22" s="358">
        <v>38.6</v>
      </c>
      <c r="AG22" s="341">
        <v>38.392857142857146</v>
      </c>
      <c r="AH22" s="341">
        <v>34.167509268621501</v>
      </c>
      <c r="AI22" s="341">
        <v>38.376816122480861</v>
      </c>
      <c r="AJ22" s="358">
        <v>41.575774971297356</v>
      </c>
      <c r="AK22" s="341">
        <v>40.351889241419094</v>
      </c>
      <c r="AL22" s="341">
        <v>37.9</v>
      </c>
      <c r="AM22" s="341">
        <v>38.534373541374947</v>
      </c>
      <c r="AN22" s="358">
        <v>36.921891058581707</v>
      </c>
      <c r="AO22" s="341">
        <v>36.640033939051122</v>
      </c>
      <c r="AP22" s="341">
        <v>36.030525104475799</v>
      </c>
      <c r="AQ22" s="341">
        <v>37.104274157589657</v>
      </c>
      <c r="AR22" s="358">
        <v>34.722624775375337</v>
      </c>
      <c r="AS22" s="341">
        <v>39.521112255406798</v>
      </c>
      <c r="AT22" s="341">
        <v>37.481824190350302</v>
      </c>
    </row>
    <row r="23" spans="1:46">
      <c r="A23" s="334" t="s">
        <v>309</v>
      </c>
      <c r="B23" s="98">
        <v>6570</v>
      </c>
      <c r="C23" s="98">
        <v>5765</v>
      </c>
      <c r="D23" s="98">
        <v>7183</v>
      </c>
      <c r="E23" s="98">
        <v>8753</v>
      </c>
      <c r="F23" s="98">
        <v>10114</v>
      </c>
      <c r="G23" s="15">
        <v>9128</v>
      </c>
      <c r="H23" s="15">
        <v>10740</v>
      </c>
      <c r="I23" s="15">
        <v>13276</v>
      </c>
      <c r="J23" s="15">
        <v>15843</v>
      </c>
      <c r="K23" s="15">
        <v>15827</v>
      </c>
      <c r="L23" s="795"/>
      <c r="M23" s="98">
        <v>1732</v>
      </c>
      <c r="N23" s="98">
        <v>1778</v>
      </c>
      <c r="O23" s="98">
        <v>1804</v>
      </c>
      <c r="P23" s="183">
        <v>1869</v>
      </c>
      <c r="Q23" s="98">
        <v>1832</v>
      </c>
      <c r="R23" s="98">
        <v>2150</v>
      </c>
      <c r="S23" s="98">
        <v>2258</v>
      </c>
      <c r="T23" s="183">
        <v>2513</v>
      </c>
      <c r="U23" s="98">
        <v>2403</v>
      </c>
      <c r="V23" s="98">
        <v>2729.3663581851001</v>
      </c>
      <c r="W23" s="98">
        <v>2481</v>
      </c>
      <c r="X23" s="183">
        <v>2501</v>
      </c>
      <c r="Y23" s="98">
        <v>2372</v>
      </c>
      <c r="Z23" s="98">
        <v>1859</v>
      </c>
      <c r="AA23" s="98">
        <v>2245</v>
      </c>
      <c r="AB23" s="183">
        <v>2652</v>
      </c>
      <c r="AC23" s="98">
        <v>2248</v>
      </c>
      <c r="AD23" s="5">
        <v>2594</v>
      </c>
      <c r="AE23" s="5">
        <v>2813</v>
      </c>
      <c r="AF23" s="183">
        <v>3085</v>
      </c>
      <c r="AG23" s="98">
        <v>3097</v>
      </c>
      <c r="AH23" s="5">
        <v>2868</v>
      </c>
      <c r="AI23" s="5">
        <v>3425</v>
      </c>
      <c r="AJ23" s="183">
        <v>3886</v>
      </c>
      <c r="AK23" s="98">
        <v>3795</v>
      </c>
      <c r="AL23" s="5">
        <v>4056</v>
      </c>
      <c r="AM23" s="5">
        <v>3960</v>
      </c>
      <c r="AN23" s="183">
        <v>4032</v>
      </c>
      <c r="AO23" s="98">
        <v>3431</v>
      </c>
      <c r="AP23" s="5">
        <v>3709</v>
      </c>
      <c r="AQ23" s="5">
        <v>4445</v>
      </c>
      <c r="AR23" s="183">
        <v>4242</v>
      </c>
      <c r="AS23" s="98">
        <v>3866</v>
      </c>
      <c r="AT23" s="5">
        <v>3600</v>
      </c>
    </row>
    <row r="24" spans="1:46">
      <c r="A24" s="334" t="s">
        <v>310</v>
      </c>
      <c r="B24" s="1">
        <v>22.9</v>
      </c>
      <c r="C24" s="1">
        <v>21.3</v>
      </c>
      <c r="D24" s="1">
        <v>22.9</v>
      </c>
      <c r="E24" s="188">
        <v>22.862739976492101</v>
      </c>
      <c r="F24" s="188">
        <v>24.8</v>
      </c>
      <c r="G24" s="229">
        <v>25.3</v>
      </c>
      <c r="H24" s="229">
        <v>27.1</v>
      </c>
      <c r="I24" s="229">
        <v>26.7</v>
      </c>
      <c r="J24" s="229">
        <v>26.3</v>
      </c>
      <c r="K24" s="229">
        <v>24.9</v>
      </c>
      <c r="L24" s="795"/>
      <c r="M24" s="1">
        <v>23.4</v>
      </c>
      <c r="N24" s="1">
        <v>22.6</v>
      </c>
      <c r="O24" s="1">
        <v>23.7</v>
      </c>
      <c r="P24" s="95">
        <v>22.1</v>
      </c>
      <c r="Q24" s="1">
        <v>22.3</v>
      </c>
      <c r="R24" s="1">
        <v>21.8</v>
      </c>
      <c r="S24" s="188">
        <v>23.39653921873381</v>
      </c>
      <c r="T24" s="189">
        <v>23.801856412199278</v>
      </c>
      <c r="U24" s="188">
        <v>24.559099301709338</v>
      </c>
      <c r="V24" s="188">
        <v>25.684058199031302</v>
      </c>
      <c r="W24" s="188">
        <v>24.4</v>
      </c>
      <c r="X24" s="189">
        <v>24.3</v>
      </c>
      <c r="Y24" s="188">
        <v>26</v>
      </c>
      <c r="Z24" s="188">
        <v>21.979191298179238</v>
      </c>
      <c r="AA24" s="188">
        <v>25.730659025787965</v>
      </c>
      <c r="AB24" s="189">
        <v>27</v>
      </c>
      <c r="AC24" s="188">
        <v>25.624073862988716</v>
      </c>
      <c r="AD24" s="188">
        <v>26.7</v>
      </c>
      <c r="AE24" s="188">
        <v>28.2</v>
      </c>
      <c r="AF24" s="189">
        <v>27.6</v>
      </c>
      <c r="AG24" s="188">
        <v>27.93109668109668</v>
      </c>
      <c r="AH24" s="188">
        <v>24.165824064711831</v>
      </c>
      <c r="AI24" s="188">
        <v>26.755722209202403</v>
      </c>
      <c r="AJ24" s="189">
        <v>27.884615384615387</v>
      </c>
      <c r="AK24" s="188">
        <v>27.365157196423421</v>
      </c>
      <c r="AL24" s="188">
        <v>25.5</v>
      </c>
      <c r="AM24" s="188">
        <v>26.405281056211244</v>
      </c>
      <c r="AN24" s="189">
        <v>25.897617059541396</v>
      </c>
      <c r="AO24" s="188">
        <v>24.259350915647317</v>
      </c>
      <c r="AP24" s="188">
        <v>22.463812004118466</v>
      </c>
      <c r="AQ24" s="188">
        <v>28.305732484076433</v>
      </c>
      <c r="AR24" s="189">
        <v>24.591304347826089</v>
      </c>
      <c r="AS24" s="188">
        <v>24.884140061791967</v>
      </c>
      <c r="AT24" s="188">
        <v>23.793787177792467</v>
      </c>
    </row>
    <row r="25" spans="1:46">
      <c r="A25" s="337" t="s">
        <v>876</v>
      </c>
      <c r="B25" s="66"/>
      <c r="C25" s="66"/>
      <c r="D25" s="66"/>
      <c r="E25" s="190"/>
      <c r="F25" s="190"/>
      <c r="G25" s="715"/>
      <c r="H25" s="715"/>
      <c r="I25" s="116">
        <v>11775</v>
      </c>
      <c r="J25" s="116">
        <v>14078</v>
      </c>
      <c r="K25" s="116">
        <v>13768</v>
      </c>
      <c r="L25" s="795"/>
      <c r="M25" s="66"/>
      <c r="N25" s="66"/>
      <c r="O25" s="66"/>
      <c r="P25" s="383"/>
      <c r="Q25" s="66"/>
      <c r="R25" s="66"/>
      <c r="S25" s="190"/>
      <c r="T25" s="716"/>
      <c r="U25" s="190"/>
      <c r="V25" s="190"/>
      <c r="W25" s="190"/>
      <c r="X25" s="716"/>
      <c r="Y25" s="190"/>
      <c r="Z25" s="190"/>
      <c r="AA25" s="190"/>
      <c r="AB25" s="716"/>
      <c r="AC25" s="190"/>
      <c r="AD25" s="190"/>
      <c r="AE25" s="190"/>
      <c r="AF25" s="716"/>
      <c r="AG25" s="401">
        <v>2755</v>
      </c>
      <c r="AH25" s="401">
        <v>2513</v>
      </c>
      <c r="AI25" s="401">
        <v>3040</v>
      </c>
      <c r="AJ25" s="449">
        <v>3467</v>
      </c>
      <c r="AK25" s="401">
        <v>3374</v>
      </c>
      <c r="AL25" s="401">
        <v>3605</v>
      </c>
      <c r="AM25" s="401">
        <v>3533</v>
      </c>
      <c r="AN25" s="449">
        <v>3566</v>
      </c>
      <c r="AO25" s="401">
        <v>2976</v>
      </c>
      <c r="AP25" s="401">
        <v>3192</v>
      </c>
      <c r="AQ25" s="401">
        <v>3896</v>
      </c>
      <c r="AR25" s="449">
        <v>3704</v>
      </c>
      <c r="AS25" s="401">
        <v>3353</v>
      </c>
      <c r="AT25" s="401">
        <v>3083</v>
      </c>
    </row>
    <row r="26" spans="1:46">
      <c r="A26" s="337" t="s">
        <v>877</v>
      </c>
      <c r="B26" s="66"/>
      <c r="C26" s="66"/>
      <c r="D26" s="66"/>
      <c r="E26" s="190"/>
      <c r="F26" s="190"/>
      <c r="G26" s="715"/>
      <c r="H26" s="715"/>
      <c r="I26" s="715">
        <v>23.7</v>
      </c>
      <c r="J26" s="715">
        <v>23.3</v>
      </c>
      <c r="K26" s="715">
        <v>21.6</v>
      </c>
      <c r="L26" s="795"/>
      <c r="M26" s="66"/>
      <c r="N26" s="66"/>
      <c r="O26" s="66"/>
      <c r="P26" s="383"/>
      <c r="Q26" s="66"/>
      <c r="R26" s="66"/>
      <c r="S26" s="190"/>
      <c r="T26" s="716"/>
      <c r="U26" s="190"/>
      <c r="V26" s="190"/>
      <c r="W26" s="190"/>
      <c r="X26" s="716"/>
      <c r="Y26" s="190"/>
      <c r="Z26" s="190"/>
      <c r="AA26" s="190"/>
      <c r="AB26" s="716"/>
      <c r="AC26" s="190"/>
      <c r="AD26" s="190"/>
      <c r="AE26" s="190"/>
      <c r="AF26" s="716"/>
      <c r="AG26" s="190">
        <v>24.8</v>
      </c>
      <c r="AH26" s="190">
        <v>21.2</v>
      </c>
      <c r="AI26" s="190">
        <v>23.7</v>
      </c>
      <c r="AJ26" s="716">
        <v>24.9</v>
      </c>
      <c r="AK26" s="190">
        <v>24.3</v>
      </c>
      <c r="AL26" s="190">
        <v>22.7</v>
      </c>
      <c r="AM26" s="190">
        <v>23.6</v>
      </c>
      <c r="AN26" s="716">
        <v>22.9</v>
      </c>
      <c r="AO26" s="190">
        <v>21</v>
      </c>
      <c r="AP26" s="190">
        <v>19.3</v>
      </c>
      <c r="AQ26" s="190">
        <v>24.8</v>
      </c>
      <c r="AR26" s="716">
        <v>21.47121905976465</v>
      </c>
      <c r="AS26" s="190">
        <v>21.582131822863026</v>
      </c>
      <c r="AT26" s="190">
        <v>20.376734963648381</v>
      </c>
    </row>
    <row r="27" spans="1:46">
      <c r="A27" s="337" t="s">
        <v>874</v>
      </c>
      <c r="B27" s="717"/>
      <c r="C27" s="717"/>
      <c r="D27" s="718"/>
      <c r="E27" s="116">
        <v>7779</v>
      </c>
      <c r="F27" s="116">
        <v>8582</v>
      </c>
      <c r="G27" s="116">
        <v>7669</v>
      </c>
      <c r="H27" s="116">
        <v>9098</v>
      </c>
      <c r="I27" s="116">
        <v>11755</v>
      </c>
      <c r="J27" s="116">
        <v>13117</v>
      </c>
      <c r="K27" s="116">
        <v>12624</v>
      </c>
      <c r="L27" s="795"/>
      <c r="M27" s="719"/>
      <c r="N27" s="719"/>
      <c r="O27" s="719"/>
      <c r="P27" s="720"/>
      <c r="Q27" s="116">
        <v>1611</v>
      </c>
      <c r="R27" s="116">
        <v>1991</v>
      </c>
      <c r="S27" s="116">
        <v>2024</v>
      </c>
      <c r="T27" s="201">
        <v>2154</v>
      </c>
      <c r="U27" s="116">
        <v>1989</v>
      </c>
      <c r="V27" s="116">
        <v>2301.5304182700002</v>
      </c>
      <c r="W27" s="116">
        <v>2160.4103993842</v>
      </c>
      <c r="X27" s="206">
        <v>2131.060167183</v>
      </c>
      <c r="Y27" s="721">
        <v>1911</v>
      </c>
      <c r="Z27" s="721">
        <v>1583</v>
      </c>
      <c r="AA27" s="721">
        <v>1896</v>
      </c>
      <c r="AB27" s="722">
        <v>2279</v>
      </c>
      <c r="AC27" s="116">
        <v>2016</v>
      </c>
      <c r="AD27" s="116">
        <v>2197</v>
      </c>
      <c r="AE27" s="116">
        <v>2331</v>
      </c>
      <c r="AF27" s="722">
        <v>2554</v>
      </c>
      <c r="AG27" s="116">
        <v>2588</v>
      </c>
      <c r="AH27" s="116">
        <v>2801</v>
      </c>
      <c r="AI27" s="116">
        <v>3064</v>
      </c>
      <c r="AJ27" s="722">
        <v>3302</v>
      </c>
      <c r="AK27" s="116">
        <v>3187</v>
      </c>
      <c r="AL27" s="116">
        <f>3413+16</f>
        <v>3429</v>
      </c>
      <c r="AM27" s="116">
        <v>3272</v>
      </c>
      <c r="AN27" s="722">
        <v>3229</v>
      </c>
      <c r="AO27" s="116">
        <v>2887</v>
      </c>
      <c r="AP27" s="116">
        <v>3246</v>
      </c>
      <c r="AQ27" s="116">
        <v>3086</v>
      </c>
      <c r="AR27" s="722">
        <v>3405</v>
      </c>
      <c r="AS27" s="116">
        <v>3099</v>
      </c>
      <c r="AT27" s="116">
        <v>2984</v>
      </c>
    </row>
    <row r="28" spans="1:46">
      <c r="A28" s="334" t="s">
        <v>875</v>
      </c>
      <c r="B28" s="372"/>
      <c r="C28" s="373"/>
      <c r="D28" s="373"/>
      <c r="E28" s="368">
        <f>E27/E8*100</f>
        <v>20.318521036809134</v>
      </c>
      <c r="F28" s="344">
        <v>20.984601826238098</v>
      </c>
      <c r="G28" s="344">
        <v>21.2</v>
      </c>
      <c r="H28" s="344">
        <v>22.9</v>
      </c>
      <c r="I28" s="344">
        <v>23.7</v>
      </c>
      <c r="J28" s="344">
        <v>21.7</v>
      </c>
      <c r="K28" s="344">
        <v>19.8</v>
      </c>
      <c r="L28" s="795"/>
      <c r="M28" s="373"/>
      <c r="N28" s="373"/>
      <c r="O28" s="373"/>
      <c r="P28" s="373"/>
      <c r="Q28" s="398">
        <v>19.600000000000001</v>
      </c>
      <c r="R28" s="344">
        <v>20.2</v>
      </c>
      <c r="S28" s="344">
        <v>20.971920008289295</v>
      </c>
      <c r="T28" s="345">
        <v>20.401591210456527</v>
      </c>
      <c r="U28" s="344">
        <v>20.3</v>
      </c>
      <c r="V28" s="344">
        <v>21.659424226143422</v>
      </c>
      <c r="W28" s="344">
        <v>21.268068511362472</v>
      </c>
      <c r="X28" s="345">
        <v>20.730157268317122</v>
      </c>
      <c r="Y28" s="344">
        <v>20.9</v>
      </c>
      <c r="Z28" s="344">
        <v>18.712461574840386</v>
      </c>
      <c r="AA28" s="344">
        <v>21.730857404860153</v>
      </c>
      <c r="AB28" s="345">
        <v>23.240872934937791</v>
      </c>
      <c r="AC28" s="344">
        <v>22.979596489228314</v>
      </c>
      <c r="AD28" s="344">
        <v>22.6</v>
      </c>
      <c r="AE28" s="344">
        <v>23.4</v>
      </c>
      <c r="AF28" s="345">
        <v>22.9</v>
      </c>
      <c r="AG28" s="344">
        <v>23.340548340548338</v>
      </c>
      <c r="AH28" s="344">
        <v>23.6</v>
      </c>
      <c r="AI28" s="344">
        <v>23.93376034994532</v>
      </c>
      <c r="AJ28" s="345">
        <v>23.694029850746269</v>
      </c>
      <c r="AK28" s="344">
        <v>22.980963368906838</v>
      </c>
      <c r="AL28" s="344">
        <v>21.6</v>
      </c>
      <c r="AM28" s="344">
        <v>21.817696872707877</v>
      </c>
      <c r="AN28" s="345">
        <v>20.741264131551901</v>
      </c>
      <c r="AO28" s="188">
        <v>20.412925121968463</v>
      </c>
      <c r="AP28" s="344">
        <v>19.7</v>
      </c>
      <c r="AQ28" s="344">
        <v>19.657303012930761</v>
      </c>
      <c r="AR28" s="345">
        <v>19.737986203698334</v>
      </c>
      <c r="AS28" s="188">
        <v>19.899999999999999</v>
      </c>
      <c r="AT28" s="344">
        <v>19.722405816259091</v>
      </c>
    </row>
    <row r="29" spans="1:46">
      <c r="A29" s="334" t="s">
        <v>291</v>
      </c>
      <c r="B29" s="97"/>
      <c r="C29" s="97">
        <v>4548</v>
      </c>
      <c r="D29" s="97">
        <v>5930</v>
      </c>
      <c r="E29" s="97">
        <v>7385</v>
      </c>
      <c r="F29" s="97">
        <v>8136</v>
      </c>
      <c r="G29" s="97">
        <v>7382</v>
      </c>
      <c r="H29" s="97">
        <v>8995</v>
      </c>
      <c r="I29" s="97">
        <v>11147</v>
      </c>
      <c r="J29" s="97">
        <v>13183</v>
      </c>
      <c r="K29" s="97">
        <v>12385</v>
      </c>
      <c r="L29" s="795"/>
      <c r="M29" s="97">
        <v>1414</v>
      </c>
      <c r="N29" s="97">
        <v>1468</v>
      </c>
      <c r="O29" s="97">
        <v>1520</v>
      </c>
      <c r="P29" s="93">
        <v>1528</v>
      </c>
      <c r="Q29" s="97">
        <v>1515</v>
      </c>
      <c r="R29" s="97">
        <v>1810</v>
      </c>
      <c r="S29" s="97">
        <v>1898</v>
      </c>
      <c r="T29" s="93">
        <v>2162</v>
      </c>
      <c r="U29" s="97">
        <v>1930</v>
      </c>
      <c r="V29" s="97">
        <v>2263</v>
      </c>
      <c r="W29" s="97">
        <v>1927</v>
      </c>
      <c r="X29" s="93">
        <v>2016</v>
      </c>
      <c r="Y29" s="97">
        <v>1932</v>
      </c>
      <c r="Z29" s="97">
        <v>1418</v>
      </c>
      <c r="AA29" s="97">
        <v>1820</v>
      </c>
      <c r="AB29" s="93">
        <v>2212</v>
      </c>
      <c r="AC29" s="97">
        <v>1867</v>
      </c>
      <c r="AD29" s="97">
        <v>2182</v>
      </c>
      <c r="AE29" s="97">
        <v>2352</v>
      </c>
      <c r="AF29" s="93">
        <v>2594</v>
      </c>
      <c r="AG29" s="97">
        <v>2631</v>
      </c>
      <c r="AH29" s="97">
        <v>2381</v>
      </c>
      <c r="AI29" s="97">
        <v>2900</v>
      </c>
      <c r="AJ29" s="93">
        <v>3235</v>
      </c>
      <c r="AK29" s="97">
        <v>3161</v>
      </c>
      <c r="AL29" s="97">
        <v>3413</v>
      </c>
      <c r="AM29" s="97">
        <v>3260</v>
      </c>
      <c r="AN29" s="93">
        <v>3349</v>
      </c>
      <c r="AO29" s="343">
        <v>2760</v>
      </c>
      <c r="AP29" s="97">
        <v>2921</v>
      </c>
      <c r="AQ29" s="97">
        <v>3277</v>
      </c>
      <c r="AR29" s="93">
        <v>3427</v>
      </c>
      <c r="AS29" s="343">
        <v>3088</v>
      </c>
      <c r="AT29" s="97">
        <v>2831</v>
      </c>
    </row>
    <row r="30" spans="1:46">
      <c r="A30" s="334" t="s">
        <v>311</v>
      </c>
      <c r="B30" s="349"/>
      <c r="C30" s="350" t="s">
        <v>322</v>
      </c>
      <c r="D30" s="22" t="s">
        <v>323</v>
      </c>
      <c r="E30" s="22" t="s">
        <v>324</v>
      </c>
      <c r="F30" s="350" t="s">
        <v>325</v>
      </c>
      <c r="G30" s="350" t="s">
        <v>326</v>
      </c>
      <c r="H30" s="350">
        <v>22.7</v>
      </c>
      <c r="I30" s="350">
        <v>22.4</v>
      </c>
      <c r="J30" s="350">
        <v>21.8</v>
      </c>
      <c r="K30" s="350">
        <v>19.5</v>
      </c>
      <c r="L30" s="865"/>
      <c r="M30" s="357">
        <f>M29/M8*100</f>
        <v>19.079746323033326</v>
      </c>
      <c r="N30" s="357">
        <f>N29/N8*100</f>
        <v>18.63180606675974</v>
      </c>
      <c r="O30" s="357">
        <f>O29/O8*100</f>
        <v>19.973718791064389</v>
      </c>
      <c r="P30" s="359">
        <f>P29/P8*100</f>
        <v>18.052930056710775</v>
      </c>
      <c r="Q30" s="350" t="s">
        <v>327</v>
      </c>
      <c r="R30" s="350" t="s">
        <v>327</v>
      </c>
      <c r="S30" s="350" t="s">
        <v>328</v>
      </c>
      <c r="T30" s="351" t="s">
        <v>329</v>
      </c>
      <c r="U30" s="350" t="s">
        <v>328</v>
      </c>
      <c r="V30" s="350" t="s">
        <v>138</v>
      </c>
      <c r="W30" s="350" t="s">
        <v>330</v>
      </c>
      <c r="X30" s="351" t="s">
        <v>331</v>
      </c>
      <c r="Y30" s="350" t="s">
        <v>332</v>
      </c>
      <c r="Z30" s="350" t="s">
        <v>322</v>
      </c>
      <c r="AA30" s="350" t="s">
        <v>333</v>
      </c>
      <c r="AB30" s="351" t="s">
        <v>334</v>
      </c>
      <c r="AC30" s="357">
        <v>21.281203693149436</v>
      </c>
      <c r="AD30" s="357">
        <v>22.4</v>
      </c>
      <c r="AE30" s="357">
        <v>23.6</v>
      </c>
      <c r="AF30" s="351">
        <v>23.2</v>
      </c>
      <c r="AG30" s="357">
        <v>23.728354978354979</v>
      </c>
      <c r="AH30" s="357">
        <v>20.062352544657905</v>
      </c>
      <c r="AI30" s="357">
        <v>22.652710513982193</v>
      </c>
      <c r="AJ30" s="359">
        <v>23.213260619977039</v>
      </c>
      <c r="AK30" s="357">
        <v>22.793481396019612</v>
      </c>
      <c r="AL30" s="357">
        <v>21.5</v>
      </c>
      <c r="AM30" s="357">
        <v>21.737680869507233</v>
      </c>
      <c r="AN30" s="359">
        <v>21.512076053442961</v>
      </c>
      <c r="AO30" s="344">
        <v>19.514954394400057</v>
      </c>
      <c r="AP30" s="357">
        <v>17.691236145599902</v>
      </c>
      <c r="AQ30" s="357">
        <v>20.873941015351296</v>
      </c>
      <c r="AR30" s="359">
        <v>19.865515042606223</v>
      </c>
      <c r="AS30" s="344">
        <v>19.899999999999999</v>
      </c>
      <c r="AT30" s="357">
        <v>18.711169861202908</v>
      </c>
    </row>
    <row r="31" spans="1:46">
      <c r="A31" s="391" t="s">
        <v>9</v>
      </c>
      <c r="B31" s="99">
        <v>4955</v>
      </c>
      <c r="C31" s="99">
        <v>4411</v>
      </c>
      <c r="D31" s="99">
        <v>5793</v>
      </c>
      <c r="E31" s="99">
        <v>7201</v>
      </c>
      <c r="F31" s="99">
        <v>7843</v>
      </c>
      <c r="G31" s="99">
        <v>7087</v>
      </c>
      <c r="H31" s="99">
        <v>8964</v>
      </c>
      <c r="I31" s="99">
        <v>10778</v>
      </c>
      <c r="J31" s="99">
        <v>12235</v>
      </c>
      <c r="K31" s="99">
        <v>11439</v>
      </c>
      <c r="L31" s="795"/>
      <c r="M31" s="99">
        <v>1391</v>
      </c>
      <c r="N31" s="99">
        <v>1458</v>
      </c>
      <c r="O31" s="99">
        <v>1501</v>
      </c>
      <c r="P31" s="201">
        <v>1443</v>
      </c>
      <c r="Q31" s="99">
        <v>1458</v>
      </c>
      <c r="R31" s="99">
        <v>1766</v>
      </c>
      <c r="S31" s="99">
        <v>1861</v>
      </c>
      <c r="T31" s="201">
        <v>2116</v>
      </c>
      <c r="U31" s="98">
        <v>1830</v>
      </c>
      <c r="V31" s="99">
        <v>2225</v>
      </c>
      <c r="W31" s="99">
        <v>1866</v>
      </c>
      <c r="X31" s="201">
        <v>1922</v>
      </c>
      <c r="Y31" s="99">
        <v>1886</v>
      </c>
      <c r="Z31" s="99">
        <v>1367</v>
      </c>
      <c r="AA31" s="99">
        <v>1744</v>
      </c>
      <c r="AB31" s="201">
        <v>2090</v>
      </c>
      <c r="AC31" s="99">
        <v>1834</v>
      </c>
      <c r="AD31" s="99">
        <v>2138</v>
      </c>
      <c r="AE31" s="99">
        <v>2425</v>
      </c>
      <c r="AF31" s="201">
        <v>2567</v>
      </c>
      <c r="AG31" s="99">
        <v>2564</v>
      </c>
      <c r="AH31" s="99">
        <v>2292</v>
      </c>
      <c r="AI31" s="99">
        <v>2876</v>
      </c>
      <c r="AJ31" s="201">
        <v>3046</v>
      </c>
      <c r="AK31" s="99">
        <v>2964</v>
      </c>
      <c r="AL31" s="99">
        <v>3428</v>
      </c>
      <c r="AM31" s="99">
        <v>2929</v>
      </c>
      <c r="AN31" s="201">
        <v>2914</v>
      </c>
      <c r="AO31" s="97">
        <v>2644</v>
      </c>
      <c r="AP31" s="99">
        <v>2656</v>
      </c>
      <c r="AQ31" s="99">
        <v>3013</v>
      </c>
      <c r="AR31" s="201">
        <v>3126</v>
      </c>
      <c r="AS31" s="97">
        <v>2881</v>
      </c>
      <c r="AT31" s="99">
        <v>2700</v>
      </c>
    </row>
    <row r="32" spans="1:46">
      <c r="A32" s="334" t="s">
        <v>312</v>
      </c>
      <c r="B32" s="380" t="s">
        <v>335</v>
      </c>
      <c r="C32" s="380" t="s">
        <v>336</v>
      </c>
      <c r="D32" s="380" t="s">
        <v>337</v>
      </c>
      <c r="E32" s="380" t="s">
        <v>338</v>
      </c>
      <c r="F32" s="380" t="s">
        <v>339</v>
      </c>
      <c r="G32" s="380" t="s">
        <v>331</v>
      </c>
      <c r="H32" s="350">
        <v>22.6</v>
      </c>
      <c r="I32" s="350">
        <v>21.7</v>
      </c>
      <c r="J32" s="350">
        <v>20.3</v>
      </c>
      <c r="K32" s="357">
        <v>18</v>
      </c>
      <c r="L32" s="795"/>
      <c r="M32" s="380" t="s">
        <v>338</v>
      </c>
      <c r="N32" s="380" t="s">
        <v>337</v>
      </c>
      <c r="O32" s="380" t="s">
        <v>328</v>
      </c>
      <c r="P32" s="381" t="s">
        <v>340</v>
      </c>
      <c r="Q32" s="380" t="s">
        <v>341</v>
      </c>
      <c r="R32" s="380" t="s">
        <v>342</v>
      </c>
      <c r="S32" s="380" t="s">
        <v>324</v>
      </c>
      <c r="T32" s="381" t="s">
        <v>343</v>
      </c>
      <c r="U32" s="380" t="s">
        <v>344</v>
      </c>
      <c r="V32" s="380" t="s">
        <v>333</v>
      </c>
      <c r="W32" s="380" t="s">
        <v>327</v>
      </c>
      <c r="X32" s="381" t="s">
        <v>344</v>
      </c>
      <c r="Y32" s="380" t="s">
        <v>345</v>
      </c>
      <c r="Z32" s="380" t="s">
        <v>346</v>
      </c>
      <c r="AA32" s="380" t="s">
        <v>343</v>
      </c>
      <c r="AB32" s="381" t="s">
        <v>138</v>
      </c>
      <c r="AC32" s="357">
        <v>20.905049583950799</v>
      </c>
      <c r="AD32" s="357">
        <v>22</v>
      </c>
      <c r="AE32" s="357">
        <v>24.3</v>
      </c>
      <c r="AF32" s="359">
        <v>23</v>
      </c>
      <c r="AG32" s="357">
        <v>23.1</v>
      </c>
      <c r="AH32" s="357">
        <v>19.3</v>
      </c>
      <c r="AI32" s="357">
        <v>22.465239806280302</v>
      </c>
      <c r="AJ32" s="359">
        <v>21.857060849598163</v>
      </c>
      <c r="AK32" s="357">
        <v>21.372944909143353</v>
      </c>
      <c r="AL32" s="357">
        <v>21.5</v>
      </c>
      <c r="AM32" s="357">
        <v>19.530572781222912</v>
      </c>
      <c r="AN32" s="359">
        <v>18.717882836587872</v>
      </c>
      <c r="AO32" s="357">
        <v>18.694760658983242</v>
      </c>
      <c r="AP32" s="357">
        <v>16.086245533280845</v>
      </c>
      <c r="AQ32" s="357">
        <v>19.192305242372125</v>
      </c>
      <c r="AR32" s="359">
        <v>18.120688655730103</v>
      </c>
      <c r="AS32" s="357">
        <v>18.544026776519051</v>
      </c>
      <c r="AT32" s="357">
        <v>17.84534038334435</v>
      </c>
    </row>
    <row r="33" spans="1:47">
      <c r="A33" s="334" t="s">
        <v>10</v>
      </c>
      <c r="B33" s="5">
        <v>3571</v>
      </c>
      <c r="C33" s="5">
        <v>3231</v>
      </c>
      <c r="D33" s="5">
        <v>4298</v>
      </c>
      <c r="E33" s="5">
        <v>5437</v>
      </c>
      <c r="F33" s="99">
        <v>5884</v>
      </c>
      <c r="G33" s="99">
        <v>5410</v>
      </c>
      <c r="H33" s="99">
        <v>7069</v>
      </c>
      <c r="I33" s="99">
        <v>8411</v>
      </c>
      <c r="J33" s="99">
        <v>9458</v>
      </c>
      <c r="K33" s="99">
        <v>8756</v>
      </c>
      <c r="L33" s="795"/>
      <c r="M33" s="5">
        <v>1049</v>
      </c>
      <c r="N33" s="5">
        <v>1078</v>
      </c>
      <c r="O33" s="5">
        <v>1067</v>
      </c>
      <c r="P33" s="73">
        <v>1104</v>
      </c>
      <c r="Q33" s="5">
        <v>1081</v>
      </c>
      <c r="R33" s="5">
        <v>1321</v>
      </c>
      <c r="S33" s="5">
        <v>1412</v>
      </c>
      <c r="T33" s="73">
        <v>1623</v>
      </c>
      <c r="U33" s="5">
        <v>1374</v>
      </c>
      <c r="V33" s="5">
        <v>1680</v>
      </c>
      <c r="W33" s="5">
        <v>1341</v>
      </c>
      <c r="X33" s="73">
        <v>1489</v>
      </c>
      <c r="Y33" s="5">
        <v>1422</v>
      </c>
      <c r="Z33" s="5">
        <v>1027</v>
      </c>
      <c r="AA33" s="5">
        <v>1324</v>
      </c>
      <c r="AB33" s="73">
        <v>1637</v>
      </c>
      <c r="AC33" s="99">
        <v>1390</v>
      </c>
      <c r="AD33" s="99">
        <v>1693</v>
      </c>
      <c r="AE33" s="99">
        <v>1929</v>
      </c>
      <c r="AF33" s="73">
        <v>2057</v>
      </c>
      <c r="AG33" s="99">
        <v>2000</v>
      </c>
      <c r="AH33" s="99">
        <v>1773</v>
      </c>
      <c r="AI33" s="99">
        <v>2243</v>
      </c>
      <c r="AJ33" s="73">
        <v>2395</v>
      </c>
      <c r="AK33" s="99">
        <v>2293</v>
      </c>
      <c r="AL33" s="99">
        <v>2653</v>
      </c>
      <c r="AM33" s="99">
        <v>2244</v>
      </c>
      <c r="AN33" s="73">
        <v>2268</v>
      </c>
      <c r="AO33" s="99">
        <v>2010</v>
      </c>
      <c r="AP33" s="99">
        <v>2044</v>
      </c>
      <c r="AQ33" s="99">
        <v>2323</v>
      </c>
      <c r="AR33" s="73">
        <v>2379</v>
      </c>
      <c r="AS33" s="99">
        <v>2196</v>
      </c>
      <c r="AT33" s="99">
        <v>2103</v>
      </c>
    </row>
    <row r="34" spans="1:47">
      <c r="A34" s="334"/>
      <c r="B34" s="337"/>
      <c r="C34" s="337"/>
      <c r="D34" s="122"/>
      <c r="E34" s="122"/>
      <c r="L34" s="795"/>
      <c r="Q34" s="337"/>
      <c r="R34" s="337"/>
      <c r="S34" s="337"/>
    </row>
    <row r="35" spans="1:47" ht="10.5">
      <c r="A35" s="332" t="s">
        <v>292</v>
      </c>
      <c r="B35" s="337"/>
      <c r="C35" s="337"/>
      <c r="D35" s="122"/>
      <c r="E35" s="122"/>
      <c r="L35" s="795"/>
    </row>
    <row r="36" spans="1:47">
      <c r="A36" s="334" t="s">
        <v>293</v>
      </c>
      <c r="B36" s="97">
        <v>22400</v>
      </c>
      <c r="C36" s="97">
        <v>23933</v>
      </c>
      <c r="D36" s="97">
        <v>19286</v>
      </c>
      <c r="E36" s="97">
        <v>25927</v>
      </c>
      <c r="F36" s="97">
        <v>31838</v>
      </c>
      <c r="G36" s="58">
        <v>34700</v>
      </c>
      <c r="H36" s="58">
        <v>35329</v>
      </c>
      <c r="I36" s="58">
        <v>44534</v>
      </c>
      <c r="J36" s="58">
        <v>51437</v>
      </c>
      <c r="K36" s="58">
        <v>65398</v>
      </c>
      <c r="L36" s="795"/>
      <c r="M36" s="97">
        <v>22564</v>
      </c>
      <c r="N36" s="97">
        <v>22961</v>
      </c>
      <c r="O36" s="97">
        <v>19626</v>
      </c>
      <c r="P36" s="93">
        <v>19286</v>
      </c>
      <c r="Q36" s="97">
        <v>20895</v>
      </c>
      <c r="R36" s="97">
        <v>24822</v>
      </c>
      <c r="S36" s="97">
        <v>24502</v>
      </c>
      <c r="T36" s="93">
        <v>25928</v>
      </c>
      <c r="U36" s="97">
        <v>29719</v>
      </c>
      <c r="V36" s="97">
        <v>29001</v>
      </c>
      <c r="W36" s="97">
        <v>31101</v>
      </c>
      <c r="X36" s="93">
        <v>31838</v>
      </c>
      <c r="Y36" s="97">
        <v>33800</v>
      </c>
      <c r="Z36" s="97">
        <v>34582</v>
      </c>
      <c r="AA36" s="97">
        <v>35244</v>
      </c>
      <c r="AB36" s="93">
        <v>34700</v>
      </c>
      <c r="AC36" s="97">
        <v>36816</v>
      </c>
      <c r="AD36" s="97">
        <v>31698</v>
      </c>
      <c r="AE36" s="97">
        <v>33881</v>
      </c>
      <c r="AF36" s="93">
        <v>35329</v>
      </c>
      <c r="AG36" s="97">
        <v>38250</v>
      </c>
      <c r="AH36" s="97">
        <v>38294</v>
      </c>
      <c r="AI36" s="97">
        <v>42560</v>
      </c>
      <c r="AJ36" s="93">
        <v>44534</v>
      </c>
      <c r="AK36" s="97">
        <v>47401</v>
      </c>
      <c r="AL36" s="97">
        <v>49523</v>
      </c>
      <c r="AM36" s="97">
        <v>51181</v>
      </c>
      <c r="AN36" s="93">
        <v>51437</v>
      </c>
      <c r="AO36" s="97">
        <v>60896</v>
      </c>
      <c r="AP36" s="97">
        <v>60750</v>
      </c>
      <c r="AQ36" s="97">
        <v>62285</v>
      </c>
      <c r="AR36" s="93">
        <v>65398</v>
      </c>
      <c r="AS36" s="97">
        <v>64008</v>
      </c>
      <c r="AT36" s="97">
        <v>60113</v>
      </c>
      <c r="AU36" s="97"/>
    </row>
    <row r="37" spans="1:47">
      <c r="A37" s="334" t="s">
        <v>210</v>
      </c>
      <c r="B37" s="97">
        <v>21727</v>
      </c>
      <c r="C37" s="97">
        <v>23167</v>
      </c>
      <c r="D37" s="97">
        <v>21674</v>
      </c>
      <c r="E37" s="97">
        <v>23086</v>
      </c>
      <c r="F37" s="97">
        <v>29518</v>
      </c>
      <c r="G37" s="58">
        <v>34033</v>
      </c>
      <c r="H37" s="58">
        <v>34485</v>
      </c>
      <c r="I37" s="58">
        <v>39794</v>
      </c>
      <c r="J37" s="58">
        <v>48815</v>
      </c>
      <c r="K37" s="58">
        <v>60153</v>
      </c>
      <c r="L37" s="795"/>
      <c r="M37" s="97"/>
      <c r="N37" s="97"/>
      <c r="O37" s="97"/>
      <c r="P37" s="93"/>
      <c r="Q37" s="97">
        <v>21066</v>
      </c>
      <c r="R37" s="97">
        <v>21518</v>
      </c>
      <c r="S37" s="97">
        <v>21826</v>
      </c>
      <c r="T37" s="93">
        <v>23086</v>
      </c>
      <c r="U37" s="97">
        <v>25173</v>
      </c>
      <c r="V37" s="97">
        <v>26794</v>
      </c>
      <c r="W37" s="97">
        <v>28050</v>
      </c>
      <c r="X37" s="93">
        <v>29518</v>
      </c>
      <c r="Y37" s="97">
        <v>31092</v>
      </c>
      <c r="Z37" s="97">
        <v>32065</v>
      </c>
      <c r="AA37" s="97">
        <v>33313</v>
      </c>
      <c r="AB37" s="93">
        <v>34033</v>
      </c>
      <c r="AC37" s="97">
        <v>35029</v>
      </c>
      <c r="AD37" s="97">
        <v>34608</v>
      </c>
      <c r="AE37" s="97">
        <v>34468</v>
      </c>
      <c r="AF37" s="93">
        <v>34485</v>
      </c>
      <c r="AG37" s="97">
        <v>35195</v>
      </c>
      <c r="AH37" s="97">
        <v>35491</v>
      </c>
      <c r="AI37" s="97">
        <v>37663</v>
      </c>
      <c r="AJ37" s="93">
        <v>39794</v>
      </c>
      <c r="AK37" s="97">
        <v>42208</v>
      </c>
      <c r="AL37" s="97">
        <v>44463</v>
      </c>
      <c r="AM37" s="97">
        <v>47040</v>
      </c>
      <c r="AN37" s="93">
        <v>48815</v>
      </c>
      <c r="AO37" s="97">
        <v>52087</v>
      </c>
      <c r="AP37" s="97">
        <v>54757</v>
      </c>
      <c r="AQ37" s="97">
        <v>57310</v>
      </c>
      <c r="AR37" s="93">
        <v>60153</v>
      </c>
      <c r="AS37" s="97">
        <v>62667</v>
      </c>
      <c r="AT37" s="97">
        <v>62511</v>
      </c>
    </row>
    <row r="38" spans="1:47">
      <c r="A38" s="361" t="s">
        <v>356</v>
      </c>
      <c r="B38" s="338"/>
      <c r="C38" s="356">
        <v>22696</v>
      </c>
      <c r="D38" s="5">
        <v>20812</v>
      </c>
      <c r="E38" s="5">
        <v>19469</v>
      </c>
      <c r="F38" s="97">
        <v>23221</v>
      </c>
      <c r="G38" s="58">
        <v>21818</v>
      </c>
      <c r="H38" s="58">
        <v>21543</v>
      </c>
      <c r="I38" s="58">
        <v>29477.371770221318</v>
      </c>
      <c r="J38" s="58">
        <v>42896</v>
      </c>
      <c r="K38" s="58">
        <v>51915.8</v>
      </c>
      <c r="L38" s="795"/>
      <c r="M38" s="97"/>
      <c r="N38" s="97"/>
      <c r="O38" s="97"/>
      <c r="P38" s="93"/>
      <c r="Q38" s="367"/>
      <c r="R38" s="97"/>
      <c r="S38" s="97"/>
      <c r="T38" s="93">
        <v>19469</v>
      </c>
      <c r="U38" s="97">
        <v>20843</v>
      </c>
      <c r="V38" s="97">
        <v>21938</v>
      </c>
      <c r="W38" s="97">
        <v>22672</v>
      </c>
      <c r="X38" s="93">
        <v>23221</v>
      </c>
      <c r="Y38" s="97">
        <v>23925</v>
      </c>
      <c r="Z38" s="97">
        <v>23372</v>
      </c>
      <c r="AA38" s="97">
        <v>22746</v>
      </c>
      <c r="AB38" s="93">
        <v>21818</v>
      </c>
      <c r="AC38" s="97">
        <v>21285</v>
      </c>
      <c r="AD38" s="401">
        <v>20722</v>
      </c>
      <c r="AE38" s="401">
        <v>20834</v>
      </c>
      <c r="AF38" s="93">
        <v>21542.6</v>
      </c>
      <c r="AG38" s="97">
        <v>23021.970801846481</v>
      </c>
      <c r="AH38" s="401">
        <v>24460</v>
      </c>
      <c r="AI38" s="401">
        <v>26462.624793486983</v>
      </c>
      <c r="AJ38" s="93">
        <v>29477.371770221318</v>
      </c>
      <c r="AK38" s="97">
        <v>33132.327424038442</v>
      </c>
      <c r="AL38" s="401">
        <v>36639</v>
      </c>
      <c r="AM38" s="401">
        <v>40026</v>
      </c>
      <c r="AN38" s="93">
        <v>42896.399999999987</v>
      </c>
      <c r="AO38" s="97">
        <v>44857.980210288457</v>
      </c>
      <c r="AP38" s="401">
        <v>47126</v>
      </c>
      <c r="AQ38" s="401">
        <v>49242.62779445976</v>
      </c>
      <c r="AR38" s="93">
        <v>51915.8</v>
      </c>
      <c r="AS38" s="97">
        <v>53888.608753496635</v>
      </c>
      <c r="AT38" s="401">
        <v>54976.585827215516</v>
      </c>
    </row>
    <row r="39" spans="1:47">
      <c r="A39" s="334"/>
      <c r="B39" s="337"/>
      <c r="C39" s="337"/>
      <c r="D39" s="122"/>
      <c r="E39" s="122"/>
      <c r="L39" s="795"/>
    </row>
    <row r="40" spans="1:47">
      <c r="A40" s="334" t="s">
        <v>313</v>
      </c>
      <c r="B40" s="279">
        <v>23.8</v>
      </c>
      <c r="C40" s="279">
        <v>19.600000000000001</v>
      </c>
      <c r="D40" s="342">
        <v>27.4</v>
      </c>
      <c r="E40" s="342">
        <v>32</v>
      </c>
      <c r="F40" s="42">
        <v>27.6</v>
      </c>
      <c r="G40" s="42">
        <v>21.7</v>
      </c>
      <c r="H40" s="42">
        <v>26.1</v>
      </c>
      <c r="I40" s="229">
        <v>28</v>
      </c>
      <c r="J40" s="229">
        <v>27</v>
      </c>
      <c r="K40" s="229">
        <v>20.589164297707512</v>
      </c>
      <c r="L40" s="795"/>
      <c r="M40" s="42"/>
      <c r="N40" s="42"/>
      <c r="O40" s="42"/>
      <c r="P40" s="71"/>
      <c r="Q40" s="229">
        <v>28.629070540206968</v>
      </c>
      <c r="R40" s="229">
        <v>29.617064782972395</v>
      </c>
      <c r="S40" s="229">
        <v>30.930999725098506</v>
      </c>
      <c r="T40" s="352">
        <v>31.989084293511215</v>
      </c>
      <c r="U40" s="229">
        <v>30.985767121874623</v>
      </c>
      <c r="V40" s="229">
        <v>30.800109626174521</v>
      </c>
      <c r="W40" s="229">
        <v>29.524719254647415</v>
      </c>
      <c r="X40" s="352">
        <v>27.562846347439528</v>
      </c>
      <c r="Y40" s="229">
        <v>26.17</v>
      </c>
      <c r="Z40" s="229">
        <v>22.741306720723532</v>
      </c>
      <c r="AA40" s="229">
        <v>21.571158406628044</v>
      </c>
      <c r="AB40" s="352">
        <v>21.7</v>
      </c>
      <c r="AC40" s="229">
        <v>20.888406748693939</v>
      </c>
      <c r="AD40" s="229">
        <v>23.4</v>
      </c>
      <c r="AE40" s="229">
        <v>25</v>
      </c>
      <c r="AF40" s="352">
        <v>26.083804552704077</v>
      </c>
      <c r="AG40" s="229">
        <v>27.731211819860775</v>
      </c>
      <c r="AH40" s="229">
        <v>28.057817474852779</v>
      </c>
      <c r="AI40" s="229">
        <v>27.894750816451158</v>
      </c>
      <c r="AJ40" s="352">
        <v>28.011760566919637</v>
      </c>
      <c r="AK40" s="229">
        <v>27.665371493555725</v>
      </c>
      <c r="AL40" s="229">
        <v>28.6</v>
      </c>
      <c r="AM40" s="229">
        <v>27.782738095238095</v>
      </c>
      <c r="AN40" s="352">
        <v>27.006043224418725</v>
      </c>
      <c r="AO40" s="229">
        <v>24.539712404246742</v>
      </c>
      <c r="AP40" s="229">
        <v>22.444618952827948</v>
      </c>
      <c r="AQ40" s="229">
        <v>21.4726923748037</v>
      </c>
      <c r="AR40" s="352">
        <v>20.589164297707512</v>
      </c>
      <c r="AS40" s="229">
        <v>20.286594220243508</v>
      </c>
      <c r="AT40" s="229">
        <v>20.193245988705989</v>
      </c>
    </row>
    <row r="41" spans="1:47">
      <c r="A41" s="334" t="s">
        <v>314</v>
      </c>
      <c r="B41" s="366"/>
      <c r="C41" s="366"/>
      <c r="D41" s="344" t="s">
        <v>349</v>
      </c>
      <c r="E41" s="344" t="s">
        <v>350</v>
      </c>
      <c r="F41" s="344" t="s">
        <v>349</v>
      </c>
      <c r="G41" s="344" t="s">
        <v>351</v>
      </c>
      <c r="H41" s="344">
        <v>1.1000000000000001</v>
      </c>
      <c r="I41" s="344">
        <v>1.2487812232999951</v>
      </c>
      <c r="J41" s="344">
        <v>1.2</v>
      </c>
      <c r="K41" s="344">
        <v>1.0573537479427459</v>
      </c>
      <c r="L41" s="795"/>
      <c r="M41" s="58"/>
      <c r="N41" s="42"/>
      <c r="O41" s="42"/>
      <c r="P41" s="71"/>
      <c r="Q41" s="344" t="s">
        <v>352</v>
      </c>
      <c r="R41" s="344" t="s">
        <v>353</v>
      </c>
      <c r="S41" s="344" t="s">
        <v>350</v>
      </c>
      <c r="T41" s="345" t="s">
        <v>350</v>
      </c>
      <c r="U41" s="344" t="s">
        <v>353</v>
      </c>
      <c r="V41" s="344" t="s">
        <v>352</v>
      </c>
      <c r="W41" s="344" t="s">
        <v>352</v>
      </c>
      <c r="X41" s="345" t="s">
        <v>349</v>
      </c>
      <c r="Y41" s="344" t="s">
        <v>347</v>
      </c>
      <c r="Z41" s="344" t="s">
        <v>348</v>
      </c>
      <c r="AA41" s="344" t="s">
        <v>351</v>
      </c>
      <c r="AB41" s="345" t="s">
        <v>351</v>
      </c>
      <c r="AC41" s="344">
        <v>1.0209255188558053</v>
      </c>
      <c r="AD41" s="344">
        <v>1.1000000000000001</v>
      </c>
      <c r="AE41" s="344">
        <v>1.1000000000000001</v>
      </c>
      <c r="AF41" s="345">
        <v>1.149630274032188</v>
      </c>
      <c r="AG41" s="344">
        <v>1.1922148032390965</v>
      </c>
      <c r="AH41" s="344">
        <v>1.2424276577160407</v>
      </c>
      <c r="AI41" s="344">
        <v>1.2460505004911984</v>
      </c>
      <c r="AJ41" s="345">
        <v>1.2487812232999951</v>
      </c>
      <c r="AK41" s="344">
        <v>1.2432003411675512</v>
      </c>
      <c r="AL41" s="344">
        <v>1.3</v>
      </c>
      <c r="AM41" s="344">
        <v>1.2481079931972789</v>
      </c>
      <c r="AN41" s="345">
        <v>1.2361569189798218</v>
      </c>
      <c r="AO41" s="344">
        <v>1.1637836696296582</v>
      </c>
      <c r="AP41" s="344">
        <v>1.1180123089285388</v>
      </c>
      <c r="AQ41" s="344">
        <v>1.0804746117606003</v>
      </c>
      <c r="AR41" s="345">
        <v>1.0573537479427459</v>
      </c>
      <c r="AS41" s="344">
        <v>1.0371646959324685</v>
      </c>
      <c r="AT41" s="344">
        <v>1.0176608916830638</v>
      </c>
    </row>
    <row r="42" spans="1:47">
      <c r="A42" s="334" t="s">
        <v>402</v>
      </c>
      <c r="B42" s="98"/>
      <c r="C42" s="98"/>
      <c r="D42" s="98">
        <v>5424</v>
      </c>
      <c r="E42" s="97">
        <v>1208</v>
      </c>
      <c r="F42" s="97">
        <v>483</v>
      </c>
      <c r="G42" s="58">
        <v>-4137</v>
      </c>
      <c r="H42" s="58">
        <v>-1304</v>
      </c>
      <c r="I42" s="58">
        <v>3691</v>
      </c>
      <c r="J42" s="58">
        <v>7824</v>
      </c>
      <c r="K42" s="58">
        <v>14778</v>
      </c>
      <c r="L42" s="795"/>
      <c r="M42" s="98"/>
      <c r="N42" s="98"/>
      <c r="O42" s="98"/>
      <c r="P42" s="183"/>
      <c r="Q42" s="98">
        <v>2550</v>
      </c>
      <c r="R42" s="98">
        <v>3027</v>
      </c>
      <c r="S42" s="98">
        <v>3146</v>
      </c>
      <c r="T42" s="183">
        <v>1208</v>
      </c>
      <c r="U42" s="98">
        <v>3641.4269999999997</v>
      </c>
      <c r="V42" s="98">
        <v>4217.08</v>
      </c>
      <c r="W42" s="98">
        <v>2416</v>
      </c>
      <c r="X42" s="183">
        <v>483</v>
      </c>
      <c r="Y42" s="98">
        <v>-1191</v>
      </c>
      <c r="Z42" s="98">
        <v>-1819</v>
      </c>
      <c r="AA42" s="98">
        <v>-3638</v>
      </c>
      <c r="AB42" s="183">
        <v>-4137</v>
      </c>
      <c r="AC42" s="98">
        <v>-5747</v>
      </c>
      <c r="AD42" s="98">
        <v>-322</v>
      </c>
      <c r="AE42" s="98">
        <v>-1191</v>
      </c>
      <c r="AF42" s="183">
        <v>-1304</v>
      </c>
      <c r="AG42" s="98">
        <v>-1844</v>
      </c>
      <c r="AH42" s="98">
        <v>-876</v>
      </c>
      <c r="AI42" s="98">
        <v>-1545</v>
      </c>
      <c r="AJ42" s="183">
        <v>3691</v>
      </c>
      <c r="AK42" s="98">
        <v>7281</v>
      </c>
      <c r="AL42" s="98">
        <v>9099</v>
      </c>
      <c r="AM42" s="98">
        <v>7643</v>
      </c>
      <c r="AN42" s="183">
        <v>7824</v>
      </c>
      <c r="AO42" s="98">
        <v>6076</v>
      </c>
      <c r="AP42" s="98">
        <v>15801</v>
      </c>
      <c r="AQ42" s="98">
        <v>15152</v>
      </c>
      <c r="AR42" s="183">
        <v>14778</v>
      </c>
      <c r="AS42" s="98">
        <v>-12317</v>
      </c>
      <c r="AT42" s="98">
        <v>-13284</v>
      </c>
    </row>
    <row r="43" spans="1:47">
      <c r="A43" s="334" t="s">
        <v>315</v>
      </c>
      <c r="C43" s="180"/>
      <c r="D43" s="180">
        <v>0.75</v>
      </c>
      <c r="E43" s="180">
        <v>0.14000000000000001</v>
      </c>
      <c r="F43" s="180">
        <v>0.05</v>
      </c>
      <c r="G43" s="363">
        <v>-0.45</v>
      </c>
      <c r="H43" s="363">
        <v>-0.12</v>
      </c>
      <c r="I43" s="363">
        <v>0.27802048809882496</v>
      </c>
      <c r="J43" s="363">
        <v>0.49</v>
      </c>
      <c r="K43" s="363">
        <v>0.93377985593327439</v>
      </c>
      <c r="L43" s="795"/>
      <c r="M43" s="410"/>
      <c r="N43" s="410"/>
      <c r="O43" s="180"/>
      <c r="P43" s="411"/>
      <c r="Q43" s="410">
        <v>0.35</v>
      </c>
      <c r="R43" s="410">
        <v>0.4</v>
      </c>
      <c r="S43" s="410">
        <v>0.38791615289765724</v>
      </c>
      <c r="T43" s="411">
        <v>0.13800982520278762</v>
      </c>
      <c r="U43" s="410">
        <v>0.39058675357930728</v>
      </c>
      <c r="V43" s="410">
        <v>0.42589323462248035</v>
      </c>
      <c r="W43" s="410">
        <v>0.24015541667866708</v>
      </c>
      <c r="X43" s="411">
        <v>0.05</v>
      </c>
      <c r="Y43" s="410">
        <v>-0.12</v>
      </c>
      <c r="Z43" s="410">
        <v>-0.19745983499782893</v>
      </c>
      <c r="AA43" s="410">
        <v>-0.40525788125208867</v>
      </c>
      <c r="AB43" s="411">
        <v>-0.45</v>
      </c>
      <c r="AC43" s="410">
        <v>-0.63827187916481565</v>
      </c>
      <c r="AD43" s="410">
        <v>-0.03</v>
      </c>
      <c r="AE43" s="410">
        <v>-0.12</v>
      </c>
      <c r="AF43" s="411">
        <v>-0.12150837988826815</v>
      </c>
      <c r="AG43" s="410">
        <v>-0.15911640348606437</v>
      </c>
      <c r="AH43" s="410">
        <v>-7.3843041389193287E-2</v>
      </c>
      <c r="AI43" s="410">
        <v>-0.12384769539078157</v>
      </c>
      <c r="AJ43" s="411">
        <v>0.27802048809882496</v>
      </c>
      <c r="AK43" s="410">
        <v>0.5210017889087657</v>
      </c>
      <c r="AL43" s="410">
        <v>0.6</v>
      </c>
      <c r="AM43" s="410">
        <v>0.48684629594241674</v>
      </c>
      <c r="AN43" s="411">
        <v>0.49381469325927796</v>
      </c>
      <c r="AO43" s="410">
        <v>0.39245575507040437</v>
      </c>
      <c r="AP43" s="410">
        <v>1.0440700363396103</v>
      </c>
      <c r="AQ43" s="410">
        <v>0.97016263285952109</v>
      </c>
      <c r="AR43" s="411">
        <v>0.93377985593327439</v>
      </c>
      <c r="AS43" s="410">
        <v>0.75750307503075032</v>
      </c>
      <c r="AT43" s="410">
        <v>0.82248777165500586</v>
      </c>
    </row>
    <row r="44" spans="1:47">
      <c r="A44" s="338" t="s">
        <v>490</v>
      </c>
      <c r="C44" s="185"/>
      <c r="D44" s="185">
        <v>45.02</v>
      </c>
      <c r="E44" s="190">
        <v>6.4</v>
      </c>
      <c r="F44" s="187">
        <v>2.1</v>
      </c>
      <c r="G44" s="42">
        <v>-17.399999999999999</v>
      </c>
      <c r="H44" s="42">
        <v>-5.0999999999999996</v>
      </c>
      <c r="I44" s="229">
        <v>11</v>
      </c>
      <c r="J44" s="229">
        <v>21</v>
      </c>
      <c r="K44" s="229">
        <v>34.224177860120427</v>
      </c>
      <c r="L44" s="795"/>
      <c r="M44" s="185"/>
      <c r="N44" s="185"/>
      <c r="O44" s="185"/>
      <c r="P44" s="186"/>
      <c r="Q44" s="185">
        <v>15.8</v>
      </c>
      <c r="R44" s="185">
        <v>17.3</v>
      </c>
      <c r="S44" s="185">
        <v>18.074227277950133</v>
      </c>
      <c r="T44" s="186">
        <v>6.4095081445322863</v>
      </c>
      <c r="U44" s="185">
        <v>17.60419144307469</v>
      </c>
      <c r="V44" s="185">
        <v>21.203077077781689</v>
      </c>
      <c r="W44" s="185">
        <v>11.065310982870752</v>
      </c>
      <c r="X44" s="186">
        <v>2.1151740748850449</v>
      </c>
      <c r="Y44" s="185">
        <v>-4.8</v>
      </c>
      <c r="Z44" s="185">
        <v>-7.7791557969464993</v>
      </c>
      <c r="AA44" s="185">
        <v>-14.815116468480207</v>
      </c>
      <c r="AB44" s="186">
        <v>-17.399999999999999</v>
      </c>
      <c r="AC44" s="185">
        <v>-21.930092345264445</v>
      </c>
      <c r="AD44" s="185">
        <v>-1.5</v>
      </c>
      <c r="AE44" s="185">
        <v>-5.0999999999999996</v>
      </c>
      <c r="AF44" s="186">
        <v>-5.0999999999999996</v>
      </c>
      <c r="AG44" s="185">
        <v>-6.3990005899295603</v>
      </c>
      <c r="AH44" s="185">
        <v>-3.1</v>
      </c>
      <c r="AI44" s="185">
        <v>-4.9000000000000004</v>
      </c>
      <c r="AJ44" s="186">
        <v>11.015608678783538</v>
      </c>
      <c r="AK44" s="185">
        <v>20.530100098688848</v>
      </c>
      <c r="AL44" s="185">
        <v>25.8</v>
      </c>
      <c r="AM44" s="185">
        <v>20.576674563859573</v>
      </c>
      <c r="AN44" s="186">
        <v>21.026605751142167</v>
      </c>
      <c r="AO44" s="185">
        <v>14.90530860563242</v>
      </c>
      <c r="AP44" s="185">
        <v>41.47071173630065</v>
      </c>
      <c r="AQ44" s="185">
        <v>38.233661367650768</v>
      </c>
      <c r="AR44" s="186">
        <v>34.224177860120427</v>
      </c>
      <c r="AS44" s="185">
        <v>29.000965364601726</v>
      </c>
      <c r="AT44" s="185">
        <v>34.418074411856153</v>
      </c>
    </row>
    <row r="45" spans="1:47">
      <c r="A45" s="334" t="s">
        <v>316</v>
      </c>
      <c r="C45" s="185"/>
      <c r="D45" s="185">
        <v>43.73</v>
      </c>
      <c r="E45" s="190">
        <v>52.1</v>
      </c>
      <c r="F45" s="191">
        <v>55.591295660014126</v>
      </c>
      <c r="G45" s="42">
        <v>54.1</v>
      </c>
      <c r="H45" s="42">
        <v>53.1</v>
      </c>
      <c r="I45" s="229">
        <v>54.24</v>
      </c>
      <c r="J45" s="229">
        <v>54.9</v>
      </c>
      <c r="K45" s="229">
        <v>51.658750762678409</v>
      </c>
      <c r="L45" s="795"/>
      <c r="M45" s="185"/>
      <c r="N45" s="185"/>
      <c r="O45" s="98"/>
      <c r="P45" s="186"/>
      <c r="Q45" s="185">
        <v>52.8</v>
      </c>
      <c r="R45" s="185">
        <v>50.1</v>
      </c>
      <c r="S45" s="185">
        <v>50.471192043378664</v>
      </c>
      <c r="T45" s="186">
        <v>52.128336329691606</v>
      </c>
      <c r="U45" s="185">
        <v>52.153194493469826</v>
      </c>
      <c r="V45" s="185">
        <v>49.539204941715653</v>
      </c>
      <c r="W45" s="185">
        <v>52.580373269114986</v>
      </c>
      <c r="X45" s="186">
        <v>55.591295660014126</v>
      </c>
      <c r="Y45" s="185">
        <v>56.6</v>
      </c>
      <c r="Z45" s="185">
        <v>52.75352509870276</v>
      </c>
      <c r="AA45" s="185">
        <v>55.016355244880586</v>
      </c>
      <c r="AB45" s="186">
        <v>54.1</v>
      </c>
      <c r="AC45" s="185">
        <v>55.933578075642451</v>
      </c>
      <c r="AD45" s="185">
        <v>47.2</v>
      </c>
      <c r="AE45" s="185">
        <v>49.3</v>
      </c>
      <c r="AF45" s="186">
        <v>53.07630555155307</v>
      </c>
      <c r="AG45" s="185">
        <v>54.983781721045602</v>
      </c>
      <c r="AH45" s="185">
        <v>51.604133659801242</v>
      </c>
      <c r="AI45" s="185">
        <v>51.499578496854937</v>
      </c>
      <c r="AJ45" s="186">
        <v>54.235998705082558</v>
      </c>
      <c r="AK45" s="185">
        <v>54.308377869316885</v>
      </c>
      <c r="AL45" s="185">
        <v>50.1</v>
      </c>
      <c r="AM45" s="185">
        <v>52.58136209849804</v>
      </c>
      <c r="AN45" s="186">
        <v>54.894150623294237</v>
      </c>
      <c r="AO45" s="185">
        <v>52.306468376682538</v>
      </c>
      <c r="AP45" s="185">
        <v>47.0326849017478</v>
      </c>
      <c r="AQ45" s="185">
        <v>48.586420812593481</v>
      </c>
      <c r="AR45" s="186">
        <v>51.658750762678409</v>
      </c>
      <c r="AS45" s="185">
        <v>52.531911735602613</v>
      </c>
      <c r="AT45" s="185">
        <v>48.639588663028817</v>
      </c>
    </row>
    <row r="46" spans="1:47">
      <c r="A46" s="334" t="s">
        <v>294</v>
      </c>
      <c r="B46" s="98"/>
      <c r="C46" s="98"/>
      <c r="D46" s="98">
        <v>9991</v>
      </c>
      <c r="E46" s="97">
        <v>12158.310218541281</v>
      </c>
      <c r="F46" s="97">
        <v>14062</v>
      </c>
      <c r="G46" s="58">
        <v>12217</v>
      </c>
      <c r="H46" s="58">
        <v>11495</v>
      </c>
      <c r="I46" s="58">
        <v>15570</v>
      </c>
      <c r="J46" s="58">
        <v>21228</v>
      </c>
      <c r="K46" s="58">
        <v>23803</v>
      </c>
      <c r="L46" s="795"/>
      <c r="M46" s="98"/>
      <c r="N46" s="98"/>
      <c r="O46" s="98"/>
      <c r="P46" s="183"/>
      <c r="Q46" s="98">
        <v>10228</v>
      </c>
      <c r="R46" s="98">
        <v>10817</v>
      </c>
      <c r="S46" s="98">
        <v>11538</v>
      </c>
      <c r="T46" s="183">
        <v>12158.310218541281</v>
      </c>
      <c r="U46" s="98">
        <v>12993.24779212676</v>
      </c>
      <c r="V46" s="98">
        <v>13720.374903944379</v>
      </c>
      <c r="W46" s="98">
        <v>14124.048043147603</v>
      </c>
      <c r="X46" s="183">
        <v>14062</v>
      </c>
      <c r="Y46" s="98">
        <v>14174</v>
      </c>
      <c r="Z46" s="98">
        <v>13721</v>
      </c>
      <c r="AA46" s="98">
        <v>13127</v>
      </c>
      <c r="AB46" s="183">
        <v>12217</v>
      </c>
      <c r="AC46" s="98">
        <v>11836</v>
      </c>
      <c r="AD46" s="98">
        <v>11418</v>
      </c>
      <c r="AE46" s="98">
        <v>11422</v>
      </c>
      <c r="AF46" s="183">
        <v>11495</v>
      </c>
      <c r="AG46" s="98">
        <v>12139</v>
      </c>
      <c r="AH46" s="98">
        <v>13002</v>
      </c>
      <c r="AI46" s="98">
        <v>14277</v>
      </c>
      <c r="AJ46" s="183">
        <v>15570</v>
      </c>
      <c r="AK46" s="98">
        <v>17221</v>
      </c>
      <c r="AL46" s="98">
        <v>18946</v>
      </c>
      <c r="AM46" s="98">
        <v>20430</v>
      </c>
      <c r="AN46" s="183">
        <v>21228</v>
      </c>
      <c r="AO46" s="98">
        <v>22219</v>
      </c>
      <c r="AP46" s="98">
        <v>23140</v>
      </c>
      <c r="AQ46" s="98">
        <v>23535</v>
      </c>
      <c r="AR46" s="183">
        <v>23803</v>
      </c>
      <c r="AS46" s="98">
        <v>24002</v>
      </c>
      <c r="AT46" s="98">
        <v>23846</v>
      </c>
    </row>
    <row r="47" spans="1:47">
      <c r="A47" s="334" t="s">
        <v>317</v>
      </c>
      <c r="B47" s="98"/>
      <c r="C47" s="98"/>
      <c r="D47" s="98">
        <v>10173</v>
      </c>
      <c r="E47" s="97">
        <v>12896.551092706401</v>
      </c>
      <c r="F47" s="97">
        <v>13153</v>
      </c>
      <c r="G47" s="58">
        <v>10571</v>
      </c>
      <c r="H47" s="58">
        <v>12186</v>
      </c>
      <c r="I47" s="58">
        <v>18564</v>
      </c>
      <c r="J47" s="58">
        <v>21736</v>
      </c>
      <c r="K47" s="58">
        <v>24322</v>
      </c>
      <c r="L47" s="795"/>
      <c r="M47" s="98"/>
      <c r="N47" s="98"/>
      <c r="P47" s="183"/>
      <c r="Q47" s="98">
        <v>11155</v>
      </c>
      <c r="R47" s="98">
        <v>13102</v>
      </c>
      <c r="S47" s="98">
        <v>13465</v>
      </c>
      <c r="T47" s="183">
        <v>12896.551092706401</v>
      </c>
      <c r="U47" s="98">
        <v>14347.6878679274</v>
      </c>
      <c r="V47" s="98">
        <v>14790.635559088099</v>
      </c>
      <c r="W47" s="98">
        <v>15120.365696016101</v>
      </c>
      <c r="X47" s="183">
        <v>13153</v>
      </c>
      <c r="Y47" s="98">
        <v>13457</v>
      </c>
      <c r="Z47" s="98">
        <v>12084</v>
      </c>
      <c r="AA47" s="98">
        <v>11821</v>
      </c>
      <c r="AB47" s="183">
        <v>10571</v>
      </c>
      <c r="AC47" s="98">
        <v>11245</v>
      </c>
      <c r="AD47" s="98">
        <v>11368</v>
      </c>
      <c r="AE47" s="98">
        <v>12104</v>
      </c>
      <c r="AF47" s="183">
        <v>12186</v>
      </c>
      <c r="AG47" s="98">
        <v>13793</v>
      </c>
      <c r="AH47" s="98">
        <v>15561</v>
      </c>
      <c r="AI47" s="98">
        <v>17744</v>
      </c>
      <c r="AJ47" s="183">
        <v>18564</v>
      </c>
      <c r="AK47" s="98">
        <v>20442</v>
      </c>
      <c r="AL47" s="98">
        <v>22420</v>
      </c>
      <c r="AM47" s="98">
        <v>22978</v>
      </c>
      <c r="AN47" s="183">
        <v>21736</v>
      </c>
      <c r="AO47" s="98">
        <v>23520</v>
      </c>
      <c r="AP47" s="98">
        <v>25045</v>
      </c>
      <c r="AQ47" s="98">
        <v>24395</v>
      </c>
      <c r="AR47" s="183">
        <v>24322</v>
      </c>
      <c r="AS47" s="98">
        <v>22729</v>
      </c>
      <c r="AT47" s="98">
        <v>22739</v>
      </c>
    </row>
    <row r="48" spans="1:47">
      <c r="A48" s="334" t="s">
        <v>295</v>
      </c>
      <c r="D48" s="1">
        <v>31.9</v>
      </c>
      <c r="E48" s="187">
        <v>31.757372909863602</v>
      </c>
      <c r="F48" s="187">
        <v>34.4</v>
      </c>
      <c r="G48" s="421">
        <v>33.799999999999997</v>
      </c>
      <c r="H48" s="421">
        <v>29</v>
      </c>
      <c r="I48" s="421">
        <v>31.331750311908884</v>
      </c>
      <c r="J48" s="421">
        <v>35.200000000000003</v>
      </c>
      <c r="K48" s="421">
        <v>37.424335330094493</v>
      </c>
      <c r="L48" s="795"/>
      <c r="Q48" s="1">
        <v>31.8</v>
      </c>
      <c r="R48" s="1">
        <v>31.7</v>
      </c>
      <c r="S48" s="188">
        <v>31.880854356055373</v>
      </c>
      <c r="T48" s="189">
        <v>31.757372909863602</v>
      </c>
      <c r="U48" s="188">
        <v>32.616312392343204</v>
      </c>
      <c r="V48" s="188">
        <v>33.776837651793358</v>
      </c>
      <c r="W48" s="188">
        <v>34.342353077618654</v>
      </c>
      <c r="X48" s="189">
        <v>34.4</v>
      </c>
      <c r="Y48" s="188">
        <v>35.299999999999997</v>
      </c>
      <c r="Z48" s="188">
        <v>36.080359725472668</v>
      </c>
      <c r="AA48" s="188">
        <v>35.870040441578318</v>
      </c>
      <c r="AB48" s="189">
        <v>33.799999999999997</v>
      </c>
      <c r="AC48" s="188">
        <v>33.096582965158547</v>
      </c>
      <c r="AD48" s="188">
        <v>30.8</v>
      </c>
      <c r="AE48" s="188">
        <v>29.8</v>
      </c>
      <c r="AF48" s="189">
        <v>28.994829108336482</v>
      </c>
      <c r="AG48" s="188">
        <v>28.929933269780744</v>
      </c>
      <c r="AH48" s="188">
        <v>29.486336319310581</v>
      </c>
      <c r="AI48" s="188">
        <v>30.42190496484125</v>
      </c>
      <c r="AJ48" s="189">
        <v>31.331750311908884</v>
      </c>
      <c r="AK48" s="188">
        <v>32.818782993158386</v>
      </c>
      <c r="AL48" s="188">
        <v>33.5</v>
      </c>
      <c r="AM48" s="188">
        <v>34.797567747100203</v>
      </c>
      <c r="AN48" s="189">
        <v>35.178893989360823</v>
      </c>
      <c r="AO48" s="188">
        <v>36.654129136560101</v>
      </c>
      <c r="AP48" s="188">
        <v>37.79872261879482</v>
      </c>
      <c r="AQ48" s="188">
        <v>38.007493298020087</v>
      </c>
      <c r="AR48" s="189">
        <v>37.424335330094493</v>
      </c>
      <c r="AS48" s="188">
        <v>36.928426364699369</v>
      </c>
      <c r="AT48" s="188">
        <v>37.484869920616212</v>
      </c>
    </row>
    <row r="49" spans="1:46" s="66" customFormat="1">
      <c r="A49" s="391" t="s">
        <v>296</v>
      </c>
      <c r="B49" s="335"/>
      <c r="C49" s="335"/>
      <c r="D49" s="336"/>
      <c r="E49" s="336"/>
      <c r="G49" s="422"/>
      <c r="H49" s="422"/>
      <c r="I49" s="422"/>
      <c r="J49" s="422"/>
      <c r="K49" s="422"/>
      <c r="L49" s="795"/>
      <c r="P49" s="383"/>
      <c r="T49" s="384" t="s">
        <v>358</v>
      </c>
      <c r="U49" s="385" t="s">
        <v>358</v>
      </c>
      <c r="V49" s="385" t="s">
        <v>358</v>
      </c>
      <c r="W49" s="385" t="s">
        <v>358</v>
      </c>
      <c r="X49" s="384" t="s">
        <v>358</v>
      </c>
      <c r="Y49" s="385" t="s">
        <v>358</v>
      </c>
      <c r="Z49" s="385" t="s">
        <v>358</v>
      </c>
      <c r="AA49" s="385" t="s">
        <v>358</v>
      </c>
      <c r="AB49" s="384" t="s">
        <v>358</v>
      </c>
      <c r="AC49" s="385" t="s">
        <v>358</v>
      </c>
      <c r="AD49" s="385" t="s">
        <v>358</v>
      </c>
      <c r="AE49" s="385" t="s">
        <v>358</v>
      </c>
      <c r="AF49" s="384" t="s">
        <v>358</v>
      </c>
      <c r="AG49" s="385" t="s">
        <v>358</v>
      </c>
      <c r="AH49" s="385" t="s">
        <v>358</v>
      </c>
      <c r="AI49" s="385" t="s">
        <v>358</v>
      </c>
      <c r="AJ49" s="384" t="s">
        <v>358</v>
      </c>
      <c r="AK49" s="385" t="s">
        <v>358</v>
      </c>
      <c r="AL49" s="385" t="s">
        <v>358</v>
      </c>
      <c r="AM49" s="385" t="s">
        <v>358</v>
      </c>
      <c r="AN49" s="384" t="s">
        <v>358</v>
      </c>
      <c r="AO49" s="385" t="s">
        <v>358</v>
      </c>
      <c r="AP49" s="385" t="s">
        <v>358</v>
      </c>
      <c r="AQ49" s="385" t="s">
        <v>358</v>
      </c>
      <c r="AR49" s="384" t="s">
        <v>358</v>
      </c>
      <c r="AS49" s="385" t="s">
        <v>358</v>
      </c>
      <c r="AT49" s="385" t="s">
        <v>358</v>
      </c>
    </row>
    <row r="50" spans="1:46">
      <c r="A50" s="340"/>
      <c r="B50" s="335"/>
      <c r="C50" s="335"/>
      <c r="D50" s="336"/>
      <c r="E50" s="336"/>
      <c r="L50" s="795"/>
    </row>
    <row r="51" spans="1:46" ht="10.5">
      <c r="A51" s="332" t="s">
        <v>297</v>
      </c>
      <c r="B51" s="337"/>
      <c r="C51" s="337"/>
      <c r="D51" s="336"/>
      <c r="E51" s="336"/>
      <c r="L51" s="795"/>
    </row>
    <row r="52" spans="1:46">
      <c r="A52" s="334" t="s">
        <v>318</v>
      </c>
      <c r="B52" s="97">
        <v>5630</v>
      </c>
      <c r="C52" s="97">
        <v>4880</v>
      </c>
      <c r="D52" s="97">
        <v>4610</v>
      </c>
      <c r="E52" s="97">
        <v>3884</v>
      </c>
      <c r="F52" s="97">
        <v>6688</v>
      </c>
      <c r="G52" s="97">
        <v>7006</v>
      </c>
      <c r="H52" s="97">
        <v>6867</v>
      </c>
      <c r="I52" s="97">
        <v>5662</v>
      </c>
      <c r="J52" s="97">
        <v>6211</v>
      </c>
      <c r="K52" s="97">
        <v>9132</v>
      </c>
      <c r="L52" s="795"/>
      <c r="M52" s="97">
        <v>1111</v>
      </c>
      <c r="N52" s="97">
        <v>1313</v>
      </c>
      <c r="O52" s="97">
        <v>1242</v>
      </c>
      <c r="P52" s="93">
        <v>944</v>
      </c>
      <c r="Q52" s="97">
        <v>666</v>
      </c>
      <c r="R52" s="97">
        <v>199</v>
      </c>
      <c r="S52" s="97">
        <v>777</v>
      </c>
      <c r="T52" s="93">
        <v>2242</v>
      </c>
      <c r="U52" s="97">
        <v>472</v>
      </c>
      <c r="V52" s="97">
        <v>1506</v>
      </c>
      <c r="W52" s="97">
        <v>1883</v>
      </c>
      <c r="X52" s="93">
        <v>2827</v>
      </c>
      <c r="Y52" s="97">
        <v>1532</v>
      </c>
      <c r="Z52" s="97">
        <v>1963</v>
      </c>
      <c r="AA52" s="97">
        <v>1355</v>
      </c>
      <c r="AB52" s="93">
        <v>2156</v>
      </c>
      <c r="AC52" s="97">
        <v>1610</v>
      </c>
      <c r="AD52" s="97">
        <v>1229</v>
      </c>
      <c r="AE52" s="97">
        <v>1613</v>
      </c>
      <c r="AF52" s="93">
        <v>2415</v>
      </c>
      <c r="AG52" s="97">
        <v>867</v>
      </c>
      <c r="AH52" s="97">
        <v>1462</v>
      </c>
      <c r="AI52" s="97">
        <v>1814</v>
      </c>
      <c r="AJ52" s="93">
        <v>1519</v>
      </c>
      <c r="AK52" s="97">
        <v>338</v>
      </c>
      <c r="AL52" s="97">
        <v>1549</v>
      </c>
      <c r="AM52" s="97">
        <v>1889</v>
      </c>
      <c r="AN52" s="93">
        <v>2435</v>
      </c>
      <c r="AO52" s="97">
        <v>1778</v>
      </c>
      <c r="AP52" s="97">
        <v>1609</v>
      </c>
      <c r="AQ52" s="97">
        <v>1789</v>
      </c>
      <c r="AR52" s="93">
        <v>3956</v>
      </c>
      <c r="AS52" s="97">
        <v>1569</v>
      </c>
      <c r="AT52" s="97">
        <v>1104</v>
      </c>
    </row>
    <row r="53" spans="1:46">
      <c r="A53" s="361" t="s">
        <v>298</v>
      </c>
      <c r="B53" s="335"/>
      <c r="C53" s="335"/>
      <c r="D53" s="122"/>
      <c r="E53" s="122"/>
      <c r="G53" s="431">
        <v>129.5</v>
      </c>
      <c r="H53" s="431">
        <v>97.1</v>
      </c>
      <c r="I53" s="431">
        <v>67</v>
      </c>
      <c r="J53" s="431">
        <v>66</v>
      </c>
      <c r="K53" s="431">
        <v>104</v>
      </c>
      <c r="L53" s="795"/>
      <c r="U53" s="1">
        <v>64</v>
      </c>
      <c r="V53" s="1">
        <v>82</v>
      </c>
      <c r="W53" s="1">
        <v>101</v>
      </c>
      <c r="X53" s="95">
        <v>113</v>
      </c>
      <c r="Y53" s="1">
        <v>130</v>
      </c>
      <c r="Z53" s="1">
        <v>155</v>
      </c>
      <c r="AA53" s="1">
        <v>145</v>
      </c>
      <c r="AB53" s="430">
        <v>129.5</v>
      </c>
      <c r="AC53" s="390">
        <v>131.72182967645963</v>
      </c>
      <c r="AD53" s="390">
        <v>105</v>
      </c>
      <c r="AE53" s="390">
        <v>99</v>
      </c>
      <c r="AF53" s="430">
        <v>97.1</v>
      </c>
      <c r="AG53" s="390">
        <v>79.749967443677562</v>
      </c>
      <c r="AH53" s="390">
        <v>82</v>
      </c>
      <c r="AI53" s="390">
        <v>81</v>
      </c>
      <c r="AJ53" s="430">
        <v>67.316609202235171</v>
      </c>
      <c r="AK53" s="390">
        <v>58.972886029411761</v>
      </c>
      <c r="AL53" s="390">
        <v>54</v>
      </c>
      <c r="AM53" s="390">
        <v>55</v>
      </c>
      <c r="AN53" s="430">
        <v>65.669274688094731</v>
      </c>
      <c r="AO53" s="390">
        <v>83</v>
      </c>
      <c r="AP53" s="390">
        <v>90</v>
      </c>
      <c r="AQ53" s="390">
        <v>88</v>
      </c>
      <c r="AR53" s="430">
        <v>104.25847699509076</v>
      </c>
      <c r="AS53" s="390">
        <v>99.8</v>
      </c>
      <c r="AT53" s="390">
        <v>93.500831944907247</v>
      </c>
    </row>
    <row r="54" spans="1:46">
      <c r="A54" s="334"/>
      <c r="B54" s="337"/>
      <c r="C54" s="337"/>
      <c r="D54" s="122"/>
      <c r="E54" s="122"/>
      <c r="L54" s="795"/>
    </row>
    <row r="55" spans="1:46" ht="10.5">
      <c r="A55" s="332" t="s">
        <v>299</v>
      </c>
      <c r="B55" s="337"/>
      <c r="C55" s="337"/>
      <c r="D55" s="336"/>
      <c r="E55" s="336"/>
      <c r="L55" s="795"/>
    </row>
    <row r="56" spans="1:46">
      <c r="A56" s="334" t="s">
        <v>1288</v>
      </c>
      <c r="B56" s="98">
        <v>1212</v>
      </c>
      <c r="C56" s="98">
        <v>1212</v>
      </c>
      <c r="D56" s="98">
        <v>1212</v>
      </c>
      <c r="E56" s="98">
        <v>1205.607634</v>
      </c>
      <c r="F56" s="98">
        <v>1201</v>
      </c>
      <c r="G56" s="423">
        <v>1204</v>
      </c>
      <c r="H56" s="423">
        <v>1206.3050000000001</v>
      </c>
      <c r="I56" s="423">
        <v>1206</v>
      </c>
      <c r="J56" s="423">
        <v>1206</v>
      </c>
      <c r="K56" s="423">
        <v>1208</v>
      </c>
      <c r="L56" s="795"/>
      <c r="M56" s="98">
        <v>1212</v>
      </c>
      <c r="N56" s="98">
        <v>1212</v>
      </c>
      <c r="O56" s="98">
        <v>1212</v>
      </c>
      <c r="P56" s="183">
        <v>1212</v>
      </c>
      <c r="Q56" s="98">
        <v>1212</v>
      </c>
      <c r="R56" s="98">
        <v>1214</v>
      </c>
      <c r="S56" s="98">
        <v>1209.8633910000001</v>
      </c>
      <c r="T56" s="183">
        <v>1200.9032130000001</v>
      </c>
      <c r="U56" s="98">
        <v>1199.222</v>
      </c>
      <c r="V56" s="98">
        <v>1199.80457</v>
      </c>
      <c r="W56" s="98">
        <v>1201.713493</v>
      </c>
      <c r="X56" s="183">
        <v>1202.696021</v>
      </c>
      <c r="Y56" s="98">
        <v>1203</v>
      </c>
      <c r="Z56" s="98">
        <v>1203.9224839999999</v>
      </c>
      <c r="AA56" s="98">
        <v>1204.855</v>
      </c>
      <c r="AB56" s="183">
        <v>1206</v>
      </c>
      <c r="AC56" s="98">
        <v>1205.999</v>
      </c>
      <c r="AD56" s="98">
        <v>1206.3800000000001</v>
      </c>
      <c r="AE56" s="98">
        <v>1207</v>
      </c>
      <c r="AF56" s="183">
        <v>1206</v>
      </c>
      <c r="AG56" s="98">
        <v>1206.2950000000001</v>
      </c>
      <c r="AH56" s="98">
        <v>1206.557</v>
      </c>
      <c r="AI56" s="98">
        <v>1206.5709999999999</v>
      </c>
      <c r="AJ56" s="183">
        <v>1205.903</v>
      </c>
      <c r="AK56" s="98">
        <v>1205.826</v>
      </c>
      <c r="AL56" s="98">
        <v>1206</v>
      </c>
      <c r="AM56" s="98">
        <v>1206.7383717076923</v>
      </c>
      <c r="AN56" s="183">
        <v>1206.8609714603172</v>
      </c>
      <c r="AO56" s="98">
        <v>1207.1120745714286</v>
      </c>
      <c r="AP56" s="98">
        <v>1207.8629251999998</v>
      </c>
      <c r="AQ56" s="98">
        <v>1208.1109288030302</v>
      </c>
      <c r="AR56" s="183">
        <v>1208.2847726612904</v>
      </c>
      <c r="AS56" s="98">
        <v>1208.5649282580644</v>
      </c>
      <c r="AT56" s="98">
        <v>1208.9256568135593</v>
      </c>
    </row>
    <row r="57" spans="1:46">
      <c r="A57" s="334" t="s">
        <v>964</v>
      </c>
      <c r="B57" s="182" t="s">
        <v>113</v>
      </c>
      <c r="C57" s="98" t="s">
        <v>113</v>
      </c>
      <c r="D57" s="98" t="s">
        <v>113</v>
      </c>
      <c r="E57" s="98">
        <v>1206.3074710000001</v>
      </c>
      <c r="F57" s="98">
        <v>1202</v>
      </c>
      <c r="G57" s="423">
        <v>1205</v>
      </c>
      <c r="H57" s="423">
        <v>1208.07</v>
      </c>
      <c r="I57" s="423">
        <v>1208</v>
      </c>
      <c r="J57" s="423">
        <v>1207</v>
      </c>
      <c r="K57" s="423">
        <v>1208</v>
      </c>
      <c r="L57" s="795"/>
      <c r="M57" s="98" t="s">
        <v>113</v>
      </c>
      <c r="N57" s="98" t="s">
        <v>113</v>
      </c>
      <c r="O57" s="98" t="s">
        <v>113</v>
      </c>
      <c r="P57" s="183" t="s">
        <v>113</v>
      </c>
      <c r="Q57" s="98" t="s">
        <v>113</v>
      </c>
      <c r="R57" s="98">
        <v>1214</v>
      </c>
      <c r="S57" s="98">
        <v>1210.867665</v>
      </c>
      <c r="T57" s="183">
        <v>1201.2693389999999</v>
      </c>
      <c r="U57" s="98">
        <v>1199.956318</v>
      </c>
      <c r="V57" s="98">
        <v>1200.262457</v>
      </c>
      <c r="W57" s="98">
        <v>1202.1115139999999</v>
      </c>
      <c r="X57" s="183">
        <v>1204.241</v>
      </c>
      <c r="Y57" s="98">
        <v>1204</v>
      </c>
      <c r="Z57" s="98">
        <v>1204.833075</v>
      </c>
      <c r="AA57" s="98">
        <v>1205.5840000000001</v>
      </c>
      <c r="AB57" s="183">
        <v>1207</v>
      </c>
      <c r="AC57" s="98">
        <v>1207.644</v>
      </c>
      <c r="AD57" s="98">
        <v>1208.23</v>
      </c>
      <c r="AE57" s="98">
        <v>1208</v>
      </c>
      <c r="AF57" s="183">
        <v>1208</v>
      </c>
      <c r="AG57" s="98">
        <v>1207.998</v>
      </c>
      <c r="AH57" s="98">
        <v>1208.0250000000001</v>
      </c>
      <c r="AI57" s="98">
        <v>1207.653</v>
      </c>
      <c r="AJ57" s="183">
        <v>1207.191</v>
      </c>
      <c r="AK57" s="98">
        <v>1207.06</v>
      </c>
      <c r="AL57" s="98">
        <v>1207</v>
      </c>
      <c r="AM57" s="98">
        <v>1207.6321683276922</v>
      </c>
      <c r="AN57" s="183">
        <v>1207.6462703603177</v>
      </c>
      <c r="AO57" s="98">
        <v>1207.7948756914284</v>
      </c>
      <c r="AP57" s="98">
        <v>1208.4239320699999</v>
      </c>
      <c r="AQ57" s="98">
        <v>1208.5355728430304</v>
      </c>
      <c r="AR57" s="183">
        <v>1208.6720099212905</v>
      </c>
      <c r="AS57" s="98">
        <v>1208.8768267980645</v>
      </c>
      <c r="AT57" s="98">
        <v>1209.1282162835594</v>
      </c>
    </row>
    <row r="58" spans="1:46">
      <c r="A58" s="334" t="s">
        <v>1289</v>
      </c>
      <c r="B58" s="184">
        <v>12.3</v>
      </c>
      <c r="C58" s="185">
        <v>12.7</v>
      </c>
      <c r="D58" s="185">
        <v>9.94</v>
      </c>
      <c r="E58" s="188">
        <v>15.63278090523438</v>
      </c>
      <c r="F58" s="184">
        <v>19.02</v>
      </c>
      <c r="G58" s="433">
        <v>19.71</v>
      </c>
      <c r="H58" s="433">
        <v>21.375191182992694</v>
      </c>
      <c r="I58" s="433">
        <v>27.8</v>
      </c>
      <c r="J58" s="433">
        <v>30.8</v>
      </c>
      <c r="K58" s="433">
        <v>35.700000000000003</v>
      </c>
      <c r="L58" s="795"/>
      <c r="M58" s="185">
        <v>14.31</v>
      </c>
      <c r="N58" s="185">
        <v>13.33</v>
      </c>
      <c r="O58" s="185">
        <v>10.33</v>
      </c>
      <c r="P58" s="186">
        <v>9.94</v>
      </c>
      <c r="Q58" s="185">
        <v>13.27</v>
      </c>
      <c r="R58" s="185">
        <v>14.45</v>
      </c>
      <c r="S58" s="185">
        <v>14.386748230817409</v>
      </c>
      <c r="T58" s="186">
        <v>15.63278090523438</v>
      </c>
      <c r="U58" s="185">
        <v>17.135998738512143</v>
      </c>
      <c r="V58" s="185">
        <v>16.536552885302513</v>
      </c>
      <c r="W58" s="185">
        <v>18.188290779081953</v>
      </c>
      <c r="X58" s="186">
        <v>18.996787314591455</v>
      </c>
      <c r="Y58" s="185">
        <v>20.56</v>
      </c>
      <c r="Z58" s="185">
        <v>19.438864840324115</v>
      </c>
      <c r="AA58" s="185">
        <v>20.399940518173111</v>
      </c>
      <c r="AB58" s="186">
        <v>19.71</v>
      </c>
      <c r="AC58" s="185">
        <v>21.745353824604958</v>
      </c>
      <c r="AD58" s="185">
        <v>17.440172776145744</v>
      </c>
      <c r="AE58" s="185">
        <v>19.3</v>
      </c>
      <c r="AF58" s="186">
        <v>21.38</v>
      </c>
      <c r="AG58" s="185">
        <v>23.887206165894934</v>
      </c>
      <c r="AH58" s="185">
        <v>23.758743852674733</v>
      </c>
      <c r="AI58" s="185">
        <v>26.331233421750664</v>
      </c>
      <c r="AJ58" s="186">
        <v>27.776810657117039</v>
      </c>
      <c r="AK58" s="185">
        <v>29.401157840543654</v>
      </c>
      <c r="AL58" s="185">
        <v>29.19</v>
      </c>
      <c r="AM58" s="185">
        <v>30.792565478839776</v>
      </c>
      <c r="AN58" s="186">
        <v>30.841927403575163</v>
      </c>
      <c r="AO58" s="185">
        <v>33.778553039235874</v>
      </c>
      <c r="AP58" s="185">
        <v>31.564905577098298</v>
      </c>
      <c r="AQ58" s="185">
        <v>32.820156346399955</v>
      </c>
      <c r="AR58" s="186">
        <v>35.749653395674784</v>
      </c>
      <c r="AS58" s="185">
        <v>35.151258041954513</v>
      </c>
      <c r="AT58" s="185">
        <v>31.938161119433602</v>
      </c>
    </row>
    <row r="59" spans="1:46">
      <c r="A59" s="361" t="s">
        <v>1290</v>
      </c>
      <c r="B59" s="362">
        <v>2.95</v>
      </c>
      <c r="C59" s="362">
        <v>2.66</v>
      </c>
      <c r="D59" s="362">
        <v>3.55</v>
      </c>
      <c r="E59" s="363">
        <v>4.5039999999999996</v>
      </c>
      <c r="F59" s="364">
        <v>4.8899999999999997</v>
      </c>
      <c r="G59" s="424">
        <v>4.4800000000000004</v>
      </c>
      <c r="H59" s="424">
        <v>5.85</v>
      </c>
      <c r="I59" s="424">
        <v>6.96</v>
      </c>
      <c r="J59" s="424">
        <v>7.82</v>
      </c>
      <c r="K59" s="424">
        <v>7.23</v>
      </c>
      <c r="L59" s="795"/>
      <c r="M59" s="362">
        <v>0.87</v>
      </c>
      <c r="N59" s="362">
        <v>0.89</v>
      </c>
      <c r="O59" s="362">
        <v>0.88</v>
      </c>
      <c r="P59" s="365">
        <v>0.91</v>
      </c>
      <c r="Q59" s="362">
        <v>0.89</v>
      </c>
      <c r="R59" s="362">
        <v>1.0900000000000001</v>
      </c>
      <c r="S59" s="362">
        <v>1.1773463334994536</v>
      </c>
      <c r="T59" s="365">
        <v>1.3506356619015891</v>
      </c>
      <c r="U59" s="362">
        <v>1.1440750753405124</v>
      </c>
      <c r="V59" s="362">
        <v>1.3985000000000001</v>
      </c>
      <c r="W59" s="362">
        <v>1.1100000000000001</v>
      </c>
      <c r="X59" s="365">
        <v>1.23</v>
      </c>
      <c r="Y59" s="362">
        <v>1.18</v>
      </c>
      <c r="Z59" s="362">
        <v>0.85</v>
      </c>
      <c r="AA59" s="362">
        <v>1.1000000000000001</v>
      </c>
      <c r="AB59" s="365">
        <v>1.35</v>
      </c>
      <c r="AC59" s="362">
        <v>1.1499999999999999</v>
      </c>
      <c r="AD59" s="362">
        <v>1.4</v>
      </c>
      <c r="AE59" s="362">
        <v>1.6</v>
      </c>
      <c r="AF59" s="365">
        <v>1.7</v>
      </c>
      <c r="AG59" s="362">
        <v>1.66</v>
      </c>
      <c r="AH59" s="362">
        <v>1.47</v>
      </c>
      <c r="AI59" s="362">
        <v>1.86</v>
      </c>
      <c r="AJ59" s="365">
        <v>1.98</v>
      </c>
      <c r="AK59" s="362">
        <v>1.9</v>
      </c>
      <c r="AL59" s="362">
        <v>2.19</v>
      </c>
      <c r="AM59" s="362">
        <v>1.8512712054051934</v>
      </c>
      <c r="AN59" s="365">
        <v>1.8742838267965123</v>
      </c>
      <c r="AO59" s="362">
        <v>1.6634743718497869</v>
      </c>
      <c r="AP59" s="362">
        <v>1.6905891864028215</v>
      </c>
      <c r="AQ59" s="362">
        <v>1.9186979810675362</v>
      </c>
      <c r="AR59" s="365">
        <v>1.9556648014320401</v>
      </c>
      <c r="AS59" s="362">
        <v>1.8203407599878942</v>
      </c>
      <c r="AT59" s="362">
        <v>1.7354251588388234</v>
      </c>
    </row>
    <row r="60" spans="1:46">
      <c r="A60" s="334" t="s">
        <v>96</v>
      </c>
      <c r="B60" s="182" t="s">
        <v>113</v>
      </c>
      <c r="C60" s="98" t="s">
        <v>113</v>
      </c>
      <c r="D60" s="98" t="s">
        <v>113</v>
      </c>
      <c r="E60" s="180">
        <v>4.4928999999999997</v>
      </c>
      <c r="F60" s="181">
        <v>4.8899999999999997</v>
      </c>
      <c r="G60" s="424">
        <v>4.4800000000000004</v>
      </c>
      <c r="H60" s="424">
        <v>5.84</v>
      </c>
      <c r="I60" s="424">
        <v>6.95</v>
      </c>
      <c r="J60" s="424">
        <v>7.81</v>
      </c>
      <c r="K60" s="424">
        <v>7.23</v>
      </c>
      <c r="L60" s="795"/>
      <c r="M60" s="98" t="s">
        <v>113</v>
      </c>
      <c r="N60" s="98" t="s">
        <v>113</v>
      </c>
      <c r="O60" s="98" t="s">
        <v>113</v>
      </c>
      <c r="P60" s="183" t="s">
        <v>113</v>
      </c>
      <c r="Q60" s="353" t="s">
        <v>113</v>
      </c>
      <c r="R60" s="387">
        <v>1.0900000000000001</v>
      </c>
      <c r="S60" s="387">
        <v>1.175633030772153</v>
      </c>
      <c r="T60" s="388">
        <v>1.3502000000000001</v>
      </c>
      <c r="U60" s="387">
        <v>1.1271</v>
      </c>
      <c r="V60" s="387">
        <v>1.3979999999999999</v>
      </c>
      <c r="W60" s="387">
        <v>1.1100000000000001</v>
      </c>
      <c r="X60" s="388">
        <v>1.22</v>
      </c>
      <c r="Y60" s="387">
        <v>1.18</v>
      </c>
      <c r="Z60" s="387">
        <v>0.83</v>
      </c>
      <c r="AA60" s="387">
        <v>1.0900000000000001</v>
      </c>
      <c r="AB60" s="388">
        <v>1.35</v>
      </c>
      <c r="AC60" s="387">
        <v>1.1499999999999999</v>
      </c>
      <c r="AD60" s="387">
        <v>1.4</v>
      </c>
      <c r="AE60" s="387">
        <v>1.59</v>
      </c>
      <c r="AF60" s="388">
        <v>1.7</v>
      </c>
      <c r="AG60" s="387">
        <v>1.65</v>
      </c>
      <c r="AH60" s="387">
        <v>1.47</v>
      </c>
      <c r="AI60" s="387">
        <v>1.85</v>
      </c>
      <c r="AJ60" s="388">
        <v>1.98</v>
      </c>
      <c r="AK60" s="387">
        <v>1.9</v>
      </c>
      <c r="AL60" s="387">
        <v>2.19</v>
      </c>
      <c r="AM60" s="387">
        <v>1.8499010365826905</v>
      </c>
      <c r="AN60" s="388">
        <v>1.8730650319692554</v>
      </c>
      <c r="AO60" s="387">
        <v>1.66253396202768</v>
      </c>
      <c r="AP60" s="387">
        <v>1.689804335885756</v>
      </c>
      <c r="AQ60" s="387">
        <v>1.918023806735784</v>
      </c>
      <c r="AR60" s="388">
        <v>1.9550382408159517</v>
      </c>
      <c r="AS60" s="387">
        <v>1.8198710995454432</v>
      </c>
      <c r="AT60" s="387">
        <v>1.7351344313579284</v>
      </c>
    </row>
    <row r="61" spans="1:46">
      <c r="A61" s="334" t="s">
        <v>319</v>
      </c>
      <c r="B61" s="366"/>
      <c r="C61" s="366"/>
      <c r="D61" s="344">
        <v>29.1</v>
      </c>
      <c r="E61" s="344">
        <v>33.218729735351332</v>
      </c>
      <c r="F61" s="344">
        <v>28.291799520282051</v>
      </c>
      <c r="G61" s="344">
        <v>22.694409415720891</v>
      </c>
      <c r="H61" s="344">
        <v>29.457429048414024</v>
      </c>
      <c r="I61" s="344">
        <v>28.4</v>
      </c>
      <c r="J61" s="344">
        <v>26.8</v>
      </c>
      <c r="K61" s="344">
        <v>22.2</v>
      </c>
      <c r="L61" s="795"/>
      <c r="Q61" s="344">
        <v>29.207720340126876</v>
      </c>
      <c r="R61" s="344">
        <v>30.771821120689658</v>
      </c>
      <c r="S61" s="344">
        <v>32.551904558244644</v>
      </c>
      <c r="T61" s="345">
        <v>33.218729735351332</v>
      </c>
      <c r="U61" s="344">
        <v>31.681447282470298</v>
      </c>
      <c r="V61" s="344">
        <v>32.3111904458328</v>
      </c>
      <c r="W61" s="389">
        <v>30.540817943328356</v>
      </c>
      <c r="X61" s="345">
        <v>28.291799520282051</v>
      </c>
      <c r="Y61" s="344">
        <v>27</v>
      </c>
      <c r="Z61" s="344">
        <v>23.44931921331316</v>
      </c>
      <c r="AA61" s="344">
        <v>22.432501708817497</v>
      </c>
      <c r="AB61" s="345">
        <v>22.694409415720891</v>
      </c>
      <c r="AC61" s="344">
        <v>21.929788712248151</v>
      </c>
      <c r="AD61" s="344">
        <v>25.4</v>
      </c>
      <c r="AE61" s="344">
        <v>28</v>
      </c>
      <c r="AF61" s="345">
        <v>29.5</v>
      </c>
      <c r="AG61" s="344">
        <v>30.710395643120297</v>
      </c>
      <c r="AH61" s="344">
        <v>30.42812254516889</v>
      </c>
      <c r="AI61" s="344">
        <v>29.184922330448636</v>
      </c>
      <c r="AJ61" s="345">
        <v>28.39510347626133</v>
      </c>
      <c r="AK61" s="344">
        <v>27.654902459981539</v>
      </c>
      <c r="AL61" s="344">
        <v>29.3</v>
      </c>
      <c r="AM61" s="344">
        <v>27.938984833873938</v>
      </c>
      <c r="AN61" s="345">
        <v>26.767519087219366</v>
      </c>
      <c r="AO61" s="344">
        <v>24.927117674304551</v>
      </c>
      <c r="AP61" s="344">
        <v>22.944745744509479</v>
      </c>
      <c r="AQ61" s="344">
        <v>22.618017876333514</v>
      </c>
      <c r="AR61" s="345">
        <v>22.174531416670902</v>
      </c>
      <c r="AS61" s="344">
        <v>22.070244867672521</v>
      </c>
      <c r="AT61" s="344">
        <v>22.406607940508572</v>
      </c>
    </row>
    <row r="62" spans="1:46">
      <c r="A62" s="334" t="s">
        <v>320</v>
      </c>
      <c r="B62" s="181">
        <v>4.5999999999999996</v>
      </c>
      <c r="C62" s="181">
        <v>4</v>
      </c>
      <c r="D62" s="181">
        <v>3.8</v>
      </c>
      <c r="E62" s="181">
        <v>3.2</v>
      </c>
      <c r="F62" s="181">
        <v>5.57</v>
      </c>
      <c r="G62" s="364">
        <v>5.82</v>
      </c>
      <c r="H62" s="364">
        <v>5.692590182416553</v>
      </c>
      <c r="I62" s="364">
        <v>4.6900000000000004</v>
      </c>
      <c r="J62" s="364">
        <v>5.15</v>
      </c>
      <c r="K62" s="364">
        <v>7.56</v>
      </c>
      <c r="L62" s="795"/>
      <c r="M62" s="354">
        <v>0.91666666666666663</v>
      </c>
      <c r="N62" s="354">
        <v>1.0833333333333333</v>
      </c>
      <c r="O62" s="354">
        <v>1.0247524752475248</v>
      </c>
      <c r="P62" s="355">
        <v>0.77887788778877887</v>
      </c>
      <c r="Q62" s="354" t="s">
        <v>167</v>
      </c>
      <c r="R62" s="354">
        <v>0.2</v>
      </c>
      <c r="S62" s="354">
        <v>0.6</v>
      </c>
      <c r="T62" s="355">
        <v>1.9</v>
      </c>
      <c r="U62" s="354">
        <v>0.39358850988390809</v>
      </c>
      <c r="V62" s="354">
        <v>1.2552044204999153</v>
      </c>
      <c r="W62" s="354">
        <v>1.566929231442024</v>
      </c>
      <c r="X62" s="355">
        <v>2.3505523845081382</v>
      </c>
      <c r="Y62" s="354">
        <v>1.27</v>
      </c>
      <c r="Z62" s="354">
        <v>1.63</v>
      </c>
      <c r="AA62" s="354">
        <v>1.1246166551161758</v>
      </c>
      <c r="AB62" s="355">
        <v>1.79</v>
      </c>
      <c r="AC62" s="354">
        <v>1.34</v>
      </c>
      <c r="AD62" s="354">
        <v>1.02</v>
      </c>
      <c r="AE62" s="354">
        <v>1.3</v>
      </c>
      <c r="AF62" s="355">
        <v>2</v>
      </c>
      <c r="AG62" s="354">
        <v>0.71872966397108495</v>
      </c>
      <c r="AH62" s="354">
        <v>1.211712335181844</v>
      </c>
      <c r="AI62" s="354">
        <v>1.5034341120414796</v>
      </c>
      <c r="AJ62" s="355">
        <v>1.2596369691426259</v>
      </c>
      <c r="AK62" s="354">
        <v>0.28030578209459739</v>
      </c>
      <c r="AL62" s="354">
        <v>1.28</v>
      </c>
      <c r="AM62" s="354">
        <v>1.5653765922159402</v>
      </c>
      <c r="AN62" s="355">
        <v>2.0176309099246277</v>
      </c>
      <c r="AO62" s="354">
        <v>1.4729369686996616</v>
      </c>
      <c r="AP62" s="354">
        <v>1.3321047996680413</v>
      </c>
      <c r="AQ62" s="354">
        <v>1.4800364414976033</v>
      </c>
      <c r="AR62" s="355">
        <v>3.28</v>
      </c>
      <c r="AS62" s="354">
        <v>1.2982339329186392</v>
      </c>
      <c r="AT62" s="354">
        <v>0.91320751923644472</v>
      </c>
    </row>
    <row r="63" spans="1:46" s="66" customFormat="1">
      <c r="A63" s="391" t="s">
        <v>456</v>
      </c>
      <c r="B63" s="335"/>
      <c r="C63" s="335"/>
      <c r="D63" s="336"/>
      <c r="E63" s="406">
        <v>2.1</v>
      </c>
      <c r="F63" s="406">
        <v>2.4</v>
      </c>
      <c r="G63" s="406">
        <v>2.5</v>
      </c>
      <c r="H63" s="406">
        <v>3</v>
      </c>
      <c r="I63" s="624">
        <v>3.4</v>
      </c>
      <c r="J63" s="624">
        <v>3.8</v>
      </c>
      <c r="K63" s="624" t="s">
        <v>1287</v>
      </c>
      <c r="L63" s="795"/>
      <c r="M63" s="406"/>
      <c r="N63" s="406"/>
      <c r="O63" s="406"/>
      <c r="P63" s="407"/>
      <c r="Q63" s="406"/>
      <c r="R63" s="406"/>
      <c r="S63" s="406"/>
      <c r="T63" s="407">
        <v>2.1</v>
      </c>
      <c r="U63" s="406"/>
      <c r="V63" s="406"/>
      <c r="W63" s="406"/>
      <c r="X63" s="407">
        <v>2.4</v>
      </c>
      <c r="Y63" s="406"/>
      <c r="Z63" s="406"/>
      <c r="AA63" s="406"/>
      <c r="AB63" s="428">
        <v>2.5</v>
      </c>
      <c r="AC63" s="406"/>
      <c r="AD63" s="406"/>
      <c r="AE63" s="406"/>
      <c r="AF63" s="428">
        <v>3</v>
      </c>
      <c r="AG63" s="406"/>
      <c r="AH63" s="406"/>
      <c r="AI63" s="406"/>
      <c r="AJ63" s="600">
        <v>3.4</v>
      </c>
      <c r="AK63" s="406"/>
      <c r="AL63" s="406"/>
      <c r="AM63" s="406"/>
      <c r="AN63" s="600">
        <v>3.8</v>
      </c>
      <c r="AO63" s="406"/>
      <c r="AP63" s="406"/>
      <c r="AQ63" s="406"/>
      <c r="AR63" s="600" t="str">
        <f>K63</f>
        <v>3.80</v>
      </c>
      <c r="AS63" s="406"/>
      <c r="AT63" s="406"/>
    </row>
    <row r="64" spans="1:46" s="66" customFormat="1">
      <c r="A64" s="391" t="s">
        <v>300</v>
      </c>
      <c r="B64" s="335"/>
      <c r="C64" s="335"/>
      <c r="D64" s="336"/>
      <c r="E64" s="408">
        <f>E63/E59</f>
        <v>0.46625222024866791</v>
      </c>
      <c r="F64" s="405">
        <v>0.49</v>
      </c>
      <c r="G64" s="405">
        <v>0.56000000000000005</v>
      </c>
      <c r="H64" s="405">
        <v>0.51</v>
      </c>
      <c r="I64" s="625">
        <v>0.49</v>
      </c>
      <c r="J64" s="625">
        <v>0.49</v>
      </c>
      <c r="K64" s="625">
        <f>3.8/K59</f>
        <v>0.52558782849239272</v>
      </c>
      <c r="L64" s="795"/>
      <c r="P64" s="383"/>
      <c r="T64" s="386">
        <v>0.47</v>
      </c>
      <c r="X64" s="386">
        <v>0.49</v>
      </c>
      <c r="AB64" s="429">
        <v>0.56000000000000005</v>
      </c>
      <c r="AF64" s="429">
        <v>0.51</v>
      </c>
      <c r="AJ64" s="601">
        <v>0.49</v>
      </c>
      <c r="AN64" s="601">
        <v>0.49</v>
      </c>
      <c r="AR64" s="600">
        <f>K64</f>
        <v>0.52558782849239272</v>
      </c>
    </row>
    <row r="65" spans="1:46" s="66" customFormat="1">
      <c r="A65" s="391" t="s">
        <v>301</v>
      </c>
      <c r="B65" s="335"/>
      <c r="C65" s="335"/>
      <c r="D65" s="336"/>
      <c r="E65" s="336"/>
      <c r="F65" s="406"/>
      <c r="G65" s="406">
        <v>3</v>
      </c>
      <c r="H65" s="406"/>
      <c r="I65" s="406"/>
      <c r="J65" s="406"/>
      <c r="K65" s="406"/>
      <c r="L65" s="795"/>
      <c r="M65" s="406"/>
      <c r="N65" s="406"/>
      <c r="O65" s="406"/>
      <c r="P65" s="407"/>
      <c r="Q65" s="406"/>
      <c r="R65" s="406"/>
      <c r="S65" s="406"/>
      <c r="T65" s="407"/>
      <c r="U65" s="406"/>
      <c r="V65" s="406"/>
      <c r="W65" s="406"/>
      <c r="X65" s="407"/>
      <c r="Y65" s="406"/>
      <c r="Z65" s="406"/>
      <c r="AA65" s="406"/>
      <c r="AB65" s="428">
        <v>3</v>
      </c>
      <c r="AC65" s="406"/>
      <c r="AD65" s="406"/>
      <c r="AE65" s="406"/>
      <c r="AF65" s="428"/>
      <c r="AG65" s="406"/>
      <c r="AH65" s="406"/>
      <c r="AI65" s="406"/>
      <c r="AJ65" s="95"/>
      <c r="AK65" s="406"/>
      <c r="AL65" s="406"/>
      <c r="AM65" s="406"/>
      <c r="AN65" s="95"/>
      <c r="AO65" s="406"/>
      <c r="AP65" s="406"/>
      <c r="AQ65" s="406"/>
      <c r="AR65" s="95"/>
      <c r="AS65" s="406"/>
      <c r="AT65" s="406"/>
    </row>
    <row r="66" spans="1:46">
      <c r="A66" s="334"/>
      <c r="B66" s="338"/>
      <c r="C66" s="338"/>
      <c r="D66" s="342"/>
      <c r="E66" s="342"/>
      <c r="L66" s="795"/>
    </row>
    <row r="67" spans="1:46" ht="10.5">
      <c r="A67" s="332" t="s">
        <v>302</v>
      </c>
      <c r="B67" s="338"/>
      <c r="C67" s="338"/>
      <c r="D67" s="342"/>
      <c r="E67" s="342"/>
      <c r="L67" s="795"/>
    </row>
    <row r="68" spans="1:46">
      <c r="A68" s="391" t="s">
        <v>303</v>
      </c>
      <c r="B68" s="372"/>
      <c r="C68" s="372"/>
      <c r="D68" s="8">
        <v>12948</v>
      </c>
      <c r="E68" s="1">
        <v>13847</v>
      </c>
      <c r="F68" s="58">
        <v>14268</v>
      </c>
      <c r="G68" s="58">
        <v>13840</v>
      </c>
      <c r="H68" s="58">
        <v>15529</v>
      </c>
      <c r="I68" s="58">
        <v>16996</v>
      </c>
      <c r="J68" s="58">
        <v>18211</v>
      </c>
      <c r="K68" s="58">
        <v>18874</v>
      </c>
      <c r="L68" s="795"/>
      <c r="M68" s="371"/>
      <c r="N68" s="371"/>
      <c r="O68" s="371"/>
      <c r="P68" s="93">
        <v>12948</v>
      </c>
      <c r="Q68" s="97">
        <v>13271.37</v>
      </c>
      <c r="R68" s="97">
        <v>13572.39</v>
      </c>
      <c r="S68" s="97">
        <v>13837.48</v>
      </c>
      <c r="T68" s="93">
        <v>13847</v>
      </c>
      <c r="U68" s="97">
        <v>13939</v>
      </c>
      <c r="V68" s="97">
        <v>14620</v>
      </c>
      <c r="W68" s="97">
        <v>14670</v>
      </c>
      <c r="X68" s="93">
        <v>14268</v>
      </c>
      <c r="Y68" s="97">
        <v>14176.6356987</v>
      </c>
      <c r="Z68" s="97">
        <v>13967.1542605</v>
      </c>
      <c r="AA68" s="97">
        <v>13902.244087700001</v>
      </c>
      <c r="AB68" s="93">
        <v>13840.4785889</v>
      </c>
      <c r="AC68" s="97">
        <v>13947</v>
      </c>
      <c r="AD68" s="97">
        <v>14569</v>
      </c>
      <c r="AE68" s="97">
        <v>15198</v>
      </c>
      <c r="AF68" s="93">
        <v>15529</v>
      </c>
      <c r="AG68" s="97">
        <v>15548</v>
      </c>
      <c r="AH68" s="97">
        <v>15912</v>
      </c>
      <c r="AI68" s="97">
        <v>16217</v>
      </c>
      <c r="AJ68" s="93">
        <v>16996</v>
      </c>
      <c r="AK68" s="97">
        <v>16042</v>
      </c>
      <c r="AL68" s="97">
        <v>18056</v>
      </c>
      <c r="AM68" s="97">
        <v>18146</v>
      </c>
      <c r="AN68" s="93">
        <v>18211</v>
      </c>
      <c r="AO68" s="97">
        <v>18156.621501000001</v>
      </c>
      <c r="AP68" s="97">
        <v>19081.437000999998</v>
      </c>
      <c r="AQ68" s="97">
        <v>18908.072345600001</v>
      </c>
      <c r="AR68" s="93">
        <v>18874</v>
      </c>
      <c r="AS68" s="97">
        <v>19042</v>
      </c>
      <c r="AT68" s="97">
        <v>19080</v>
      </c>
    </row>
    <row r="69" spans="1:46">
      <c r="A69" s="391" t="s">
        <v>304</v>
      </c>
      <c r="B69" s="372"/>
      <c r="C69" s="372"/>
      <c r="D69" s="58">
        <v>1397</v>
      </c>
      <c r="E69" s="58">
        <v>1610</v>
      </c>
      <c r="F69" s="58">
        <v>1366</v>
      </c>
      <c r="G69" s="58">
        <v>1109</v>
      </c>
      <c r="H69" s="58">
        <v>1474</v>
      </c>
      <c r="I69" s="58">
        <v>1630</v>
      </c>
      <c r="J69" s="58">
        <v>1762</v>
      </c>
      <c r="K69" s="58">
        <v>1495</v>
      </c>
      <c r="L69" s="795"/>
      <c r="M69" s="217"/>
      <c r="N69" s="371"/>
      <c r="O69" s="371"/>
      <c r="P69" s="93">
        <v>1397</v>
      </c>
      <c r="Q69" s="97">
        <v>1513.53</v>
      </c>
      <c r="R69" s="97">
        <v>1602.76</v>
      </c>
      <c r="S69" s="97">
        <v>1705.98</v>
      </c>
      <c r="T69" s="93">
        <v>1609.74</v>
      </c>
      <c r="U69" s="97">
        <v>1531</v>
      </c>
      <c r="V69" s="97">
        <v>1576</v>
      </c>
      <c r="W69" s="97">
        <v>1485</v>
      </c>
      <c r="X69" s="93">
        <v>1366</v>
      </c>
      <c r="Y69" s="97">
        <v>1332.2333999999998</v>
      </c>
      <c r="Z69" s="97">
        <v>1144.5119999000001</v>
      </c>
      <c r="AA69" s="97">
        <v>1108.239</v>
      </c>
      <c r="AB69" s="93">
        <v>1109.492</v>
      </c>
      <c r="AC69" s="97">
        <v>1200</v>
      </c>
      <c r="AD69" s="97">
        <v>1354</v>
      </c>
      <c r="AE69" s="97">
        <v>1404</v>
      </c>
      <c r="AF69" s="93">
        <v>1474</v>
      </c>
      <c r="AG69" s="97">
        <v>1521</v>
      </c>
      <c r="AH69" s="97">
        <v>1582</v>
      </c>
      <c r="AI69" s="97">
        <v>1615</v>
      </c>
      <c r="AJ69" s="93">
        <v>1630</v>
      </c>
      <c r="AK69" s="97">
        <v>1722</v>
      </c>
      <c r="AL69" s="97">
        <v>1783</v>
      </c>
      <c r="AM69" s="97">
        <v>1795</v>
      </c>
      <c r="AN69" s="93">
        <v>1762</v>
      </c>
      <c r="AO69" s="97">
        <v>1742.59</v>
      </c>
      <c r="AP69" s="97">
        <v>1700.39</v>
      </c>
      <c r="AQ69" s="97">
        <v>1592.43</v>
      </c>
      <c r="AR69" s="93">
        <v>1495</v>
      </c>
      <c r="AS69" s="97">
        <v>1516</v>
      </c>
      <c r="AT69" s="97">
        <v>1558</v>
      </c>
    </row>
    <row r="70" spans="1:46">
      <c r="A70" s="391" t="s">
        <v>305</v>
      </c>
      <c r="B70" s="374"/>
      <c r="C70" s="375">
        <v>11749</v>
      </c>
      <c r="D70" s="375">
        <v>12355</v>
      </c>
      <c r="E70" s="375">
        <v>13517</v>
      </c>
      <c r="F70" s="375">
        <v>14398</v>
      </c>
      <c r="G70" s="375">
        <v>14012</v>
      </c>
      <c r="H70" s="375">
        <v>14611</v>
      </c>
      <c r="I70" s="375">
        <v>15969</v>
      </c>
      <c r="J70" s="375">
        <v>17923</v>
      </c>
      <c r="K70" s="375">
        <v>18778</v>
      </c>
      <c r="L70" s="795"/>
      <c r="P70" s="93">
        <v>12354.738565051926</v>
      </c>
      <c r="Q70" s="97">
        <v>12595.5</v>
      </c>
      <c r="R70" s="97">
        <v>12926.17</v>
      </c>
      <c r="S70" s="97">
        <v>13235.71</v>
      </c>
      <c r="T70" s="93">
        <v>13517.11</v>
      </c>
      <c r="U70" s="97">
        <v>13733</v>
      </c>
      <c r="V70" s="97">
        <v>14022</v>
      </c>
      <c r="W70" s="97">
        <v>14249</v>
      </c>
      <c r="X70" s="93">
        <v>14398</v>
      </c>
      <c r="Y70" s="97">
        <v>14454.0698625</v>
      </c>
      <c r="Z70" s="97">
        <v>14361.1978499</v>
      </c>
      <c r="AA70" s="97">
        <v>14195.348250700001</v>
      </c>
      <c r="AB70" s="93">
        <v>14012.2706932</v>
      </c>
      <c r="AC70" s="97">
        <v>13929</v>
      </c>
      <c r="AD70" s="97">
        <v>13980</v>
      </c>
      <c r="AE70" s="97">
        <v>14251</v>
      </c>
      <c r="AF70" s="93">
        <v>14611</v>
      </c>
      <c r="AG70" s="97">
        <v>14992</v>
      </c>
      <c r="AH70" s="97">
        <v>15370</v>
      </c>
      <c r="AI70" s="97">
        <v>15658</v>
      </c>
      <c r="AJ70" s="93">
        <v>15969</v>
      </c>
      <c r="AK70" s="97">
        <v>16483</v>
      </c>
      <c r="AL70" s="97">
        <v>17036</v>
      </c>
      <c r="AM70" s="97">
        <v>17535</v>
      </c>
      <c r="AN70" s="93">
        <v>17923</v>
      </c>
      <c r="AO70" s="97">
        <v>18117.077842800001</v>
      </c>
      <c r="AP70" s="97">
        <v>18424.845635999998</v>
      </c>
      <c r="AQ70" s="97">
        <v>18618.4380814</v>
      </c>
      <c r="AR70" s="93">
        <v>18778</v>
      </c>
      <c r="AS70" s="97">
        <v>18980</v>
      </c>
      <c r="AT70" s="97">
        <v>18956</v>
      </c>
    </row>
    <row r="71" spans="1:46">
      <c r="A71" s="391" t="s">
        <v>454</v>
      </c>
      <c r="B71" s="374"/>
      <c r="C71" s="375"/>
      <c r="D71" s="375"/>
      <c r="E71" s="444">
        <v>8.9</v>
      </c>
      <c r="F71" s="444">
        <v>6</v>
      </c>
      <c r="G71" s="444">
        <v>4.8</v>
      </c>
      <c r="H71" s="444">
        <v>5.0999999999999996</v>
      </c>
      <c r="I71" s="444">
        <v>5.7</v>
      </c>
      <c r="J71" s="444">
        <v>5.0999999999999996</v>
      </c>
      <c r="K71" s="444">
        <v>4.3</v>
      </c>
      <c r="L71" s="795"/>
      <c r="P71" s="93"/>
      <c r="Q71" s="97"/>
      <c r="R71" s="97"/>
      <c r="S71" s="97"/>
      <c r="T71" s="189">
        <v>8.9</v>
      </c>
      <c r="U71" s="188"/>
      <c r="V71" s="188"/>
      <c r="W71" s="188"/>
      <c r="X71" s="189">
        <v>6</v>
      </c>
      <c r="Y71" s="188"/>
      <c r="Z71" s="188"/>
      <c r="AA71" s="188"/>
      <c r="AB71" s="189">
        <v>4.8</v>
      </c>
      <c r="AC71" s="188">
        <v>4.3</v>
      </c>
      <c r="AD71" s="188">
        <v>4.7</v>
      </c>
      <c r="AE71" s="188">
        <v>5.3</v>
      </c>
      <c r="AF71" s="189">
        <v>5.0999999999999996</v>
      </c>
      <c r="AG71" s="188">
        <v>5.3</v>
      </c>
      <c r="AH71" s="188">
        <v>5.6</v>
      </c>
      <c r="AI71" s="188">
        <v>5.6</v>
      </c>
      <c r="AJ71" s="189">
        <v>5.7</v>
      </c>
      <c r="AK71" s="188">
        <v>6.2</v>
      </c>
      <c r="AL71" s="188">
        <v>5.5</v>
      </c>
      <c r="AM71" s="188">
        <v>5.0999999999999996</v>
      </c>
      <c r="AN71" s="189">
        <v>5.0999999999999996</v>
      </c>
      <c r="AO71" s="188">
        <v>4.5670798000000001</v>
      </c>
      <c r="AP71" s="188">
        <v>4.6537303999999997</v>
      </c>
      <c r="AQ71" s="188">
        <v>4.4000000000000004</v>
      </c>
      <c r="AR71" s="189">
        <v>4.3</v>
      </c>
      <c r="AS71" s="188">
        <v>4.3</v>
      </c>
      <c r="AT71" s="188">
        <v>4.2</v>
      </c>
    </row>
    <row r="72" spans="1:46">
      <c r="A72" s="391" t="s">
        <v>306</v>
      </c>
      <c r="B72" s="188">
        <v>4.5999999999999996</v>
      </c>
      <c r="C72" s="188">
        <v>3.8</v>
      </c>
      <c r="D72" s="188">
        <v>4.3</v>
      </c>
      <c r="E72" s="229">
        <v>3.4</v>
      </c>
      <c r="F72" s="229">
        <v>2.7</v>
      </c>
      <c r="G72" s="229">
        <v>2</v>
      </c>
      <c r="H72" s="229">
        <v>2.1</v>
      </c>
      <c r="I72" s="229">
        <v>2.2999999999999998</v>
      </c>
      <c r="J72" s="229">
        <v>2.2000000000000002</v>
      </c>
      <c r="K72" s="229">
        <v>1.8</v>
      </c>
      <c r="L72" s="795"/>
      <c r="M72" s="188">
        <v>3.9</v>
      </c>
      <c r="N72" s="188">
        <v>3.7</v>
      </c>
      <c r="O72" s="188">
        <v>4.0999999999999996</v>
      </c>
      <c r="P72" s="189">
        <v>4.3</v>
      </c>
      <c r="Q72" s="188">
        <v>4.3</v>
      </c>
      <c r="R72" s="188">
        <v>4.4000000000000004</v>
      </c>
      <c r="S72" s="188">
        <v>4.0999999999999996</v>
      </c>
      <c r="T72" s="189">
        <v>3.4</v>
      </c>
      <c r="U72" s="188">
        <v>3.4</v>
      </c>
      <c r="V72" s="188">
        <v>3</v>
      </c>
      <c r="W72" s="188">
        <v>2.5</v>
      </c>
      <c r="X72" s="189">
        <v>2.7</v>
      </c>
      <c r="Y72" s="188">
        <v>2.6</v>
      </c>
      <c r="Z72" s="188">
        <v>2.2999999999999998</v>
      </c>
      <c r="AA72" s="188">
        <v>2.2999999999999998</v>
      </c>
      <c r="AB72" s="189">
        <v>2</v>
      </c>
      <c r="AC72" s="188">
        <v>1.5</v>
      </c>
      <c r="AD72" s="188">
        <v>1.6</v>
      </c>
      <c r="AE72" s="188">
        <v>1.9</v>
      </c>
      <c r="AF72" s="189">
        <v>2.1</v>
      </c>
      <c r="AG72" s="188">
        <v>2.2000000000000002</v>
      </c>
      <c r="AH72" s="188">
        <v>2.4</v>
      </c>
      <c r="AI72" s="188">
        <v>2.4</v>
      </c>
      <c r="AJ72" s="189">
        <v>2.2999999999999998</v>
      </c>
      <c r="AK72" s="188">
        <v>2.4</v>
      </c>
      <c r="AL72" s="188">
        <v>2.1</v>
      </c>
      <c r="AM72" s="188">
        <v>2.1</v>
      </c>
      <c r="AN72" s="189">
        <v>2.2000000000000002</v>
      </c>
      <c r="AO72" s="188">
        <v>2.2999999999999998</v>
      </c>
      <c r="AP72" s="188">
        <v>2.1</v>
      </c>
      <c r="AQ72" s="188">
        <v>1.7943948999999999</v>
      </c>
      <c r="AR72" s="189">
        <v>1.8</v>
      </c>
      <c r="AS72" s="188">
        <v>1.7</v>
      </c>
      <c r="AT72" s="188">
        <v>1.6</v>
      </c>
    </row>
    <row r="73" spans="1:46">
      <c r="A73" s="391" t="s">
        <v>360</v>
      </c>
      <c r="B73" s="335"/>
      <c r="C73" s="335">
        <v>15.1</v>
      </c>
      <c r="D73" s="122">
        <v>15.7</v>
      </c>
      <c r="E73" s="122">
        <v>16</v>
      </c>
      <c r="F73" s="42">
        <v>15.5</v>
      </c>
      <c r="G73" s="42">
        <v>15.7</v>
      </c>
      <c r="H73" s="42">
        <v>17.100000000000001</v>
      </c>
      <c r="I73" s="42">
        <v>18.2</v>
      </c>
      <c r="J73" s="42">
        <v>19</v>
      </c>
      <c r="K73" s="42">
        <v>19.8</v>
      </c>
      <c r="L73" s="795"/>
      <c r="U73" s="1">
        <v>16.100000000000001</v>
      </c>
      <c r="V73" s="1">
        <v>15.6</v>
      </c>
      <c r="W73" s="1">
        <v>15.7</v>
      </c>
      <c r="X73" s="95">
        <v>15.5</v>
      </c>
      <c r="Y73" s="1">
        <v>15.5</v>
      </c>
      <c r="Z73" s="1">
        <v>15.5</v>
      </c>
      <c r="AA73" s="1">
        <v>15.6</v>
      </c>
      <c r="AB73" s="95">
        <v>15.7</v>
      </c>
      <c r="AC73" s="188">
        <v>15.79613</v>
      </c>
      <c r="AD73" s="188">
        <v>16.2</v>
      </c>
      <c r="AE73" s="188">
        <v>16.7</v>
      </c>
      <c r="AF73" s="95">
        <v>17.100000000000001</v>
      </c>
      <c r="AG73" s="188">
        <v>17.600000000000001</v>
      </c>
      <c r="AH73" s="188">
        <v>17.899999999999999</v>
      </c>
      <c r="AI73" s="188">
        <v>18.100000000000001</v>
      </c>
      <c r="AJ73" s="95">
        <v>18.2</v>
      </c>
      <c r="AK73" s="188">
        <v>18.600000000000001</v>
      </c>
      <c r="AL73" s="188">
        <v>18.8</v>
      </c>
      <c r="AM73" s="188">
        <v>18.8</v>
      </c>
      <c r="AN73" s="189">
        <v>19</v>
      </c>
      <c r="AO73" s="188">
        <v>19</v>
      </c>
      <c r="AP73" s="188">
        <v>19.2</v>
      </c>
      <c r="AQ73" s="188">
        <v>19.600000000000001</v>
      </c>
      <c r="AR73" s="189">
        <v>19.8</v>
      </c>
      <c r="AS73" s="188">
        <v>19.97</v>
      </c>
      <c r="AT73" s="188">
        <v>20.12997</v>
      </c>
    </row>
    <row r="74" spans="1:46">
      <c r="A74" s="42" t="s">
        <v>453</v>
      </c>
      <c r="B74" s="335"/>
      <c r="C74" s="335"/>
      <c r="D74" s="122"/>
      <c r="E74" s="122"/>
      <c r="F74" s="42"/>
      <c r="G74" s="229">
        <v>21</v>
      </c>
      <c r="H74" s="42">
        <v>22.5</v>
      </c>
      <c r="I74" s="42">
        <v>22.7</v>
      </c>
      <c r="J74" s="42">
        <v>23.4</v>
      </c>
      <c r="K74" s="42">
        <v>24.4</v>
      </c>
      <c r="L74" s="795"/>
      <c r="Y74" s="1">
        <v>20.3</v>
      </c>
      <c r="Z74" s="1">
        <v>20.399999999999999</v>
      </c>
      <c r="AA74" s="1">
        <v>20.3</v>
      </c>
      <c r="AB74" s="189">
        <v>21</v>
      </c>
      <c r="AC74" s="188">
        <v>21.3</v>
      </c>
      <c r="AD74" s="188">
        <v>20.6</v>
      </c>
      <c r="AE74" s="188">
        <v>21.5</v>
      </c>
      <c r="AF74" s="95">
        <v>22.5</v>
      </c>
      <c r="AG74" s="188">
        <v>23</v>
      </c>
      <c r="AH74" s="188">
        <v>22.4</v>
      </c>
      <c r="AI74" s="188">
        <v>22.7</v>
      </c>
      <c r="AJ74" s="95">
        <v>22.7</v>
      </c>
      <c r="AK74" s="188">
        <v>23.5</v>
      </c>
      <c r="AL74" s="188">
        <v>23.1</v>
      </c>
      <c r="AM74" s="188">
        <v>23.4</v>
      </c>
      <c r="AN74" s="95">
        <v>23.4</v>
      </c>
      <c r="AO74" s="188">
        <v>23.5</v>
      </c>
      <c r="AP74" s="188">
        <v>23.6</v>
      </c>
      <c r="AQ74" s="188">
        <v>24</v>
      </c>
      <c r="AR74" s="95">
        <v>24.4</v>
      </c>
      <c r="AS74" s="188">
        <v>24.47</v>
      </c>
      <c r="AT74" s="188">
        <v>25.47757</v>
      </c>
    </row>
    <row r="75" spans="1:46">
      <c r="A75" s="338" t="s">
        <v>307</v>
      </c>
      <c r="B75" s="188">
        <v>2.11</v>
      </c>
      <c r="C75" s="188">
        <v>2.2999999999999998</v>
      </c>
      <c r="D75" s="188">
        <v>2.16</v>
      </c>
      <c r="E75" s="229">
        <v>2.2000000000000002</v>
      </c>
      <c r="F75" s="229">
        <v>2.12</v>
      </c>
      <c r="G75" s="229">
        <v>2.1</v>
      </c>
      <c r="H75" s="229">
        <v>2.4300000000000002</v>
      </c>
      <c r="I75" s="229">
        <v>2.4</v>
      </c>
      <c r="J75" s="229">
        <v>2.1</v>
      </c>
      <c r="K75" s="229">
        <v>2.2000000000000002</v>
      </c>
      <c r="L75" s="795"/>
      <c r="M75" s="188">
        <v>2.2999999999999998</v>
      </c>
      <c r="N75" s="188">
        <v>2.2000000000000002</v>
      </c>
      <c r="O75" s="188">
        <v>2.15</v>
      </c>
      <c r="P75" s="189">
        <v>2.16</v>
      </c>
      <c r="Q75" s="188">
        <v>2.1</v>
      </c>
      <c r="R75" s="188">
        <v>2.1</v>
      </c>
      <c r="S75" s="188">
        <v>2.16281486544715</v>
      </c>
      <c r="T75" s="189">
        <v>2.1694629901857598</v>
      </c>
      <c r="U75" s="188">
        <v>2.16228</v>
      </c>
      <c r="V75" s="188">
        <v>2.1944000000000004</v>
      </c>
      <c r="W75" s="188">
        <v>2.1635</v>
      </c>
      <c r="X75" s="189">
        <v>2.12</v>
      </c>
      <c r="Y75" s="188">
        <v>2.1</v>
      </c>
      <c r="Z75" s="188">
        <v>2.03294</v>
      </c>
      <c r="AA75" s="188">
        <v>2.0552899999999998</v>
      </c>
      <c r="AB75" s="189">
        <v>2.0552899999999998</v>
      </c>
      <c r="AC75" s="188">
        <v>2.1490900000000002</v>
      </c>
      <c r="AD75" s="188">
        <v>2.2999999999999998</v>
      </c>
      <c r="AE75" s="188">
        <v>2.4</v>
      </c>
      <c r="AF75" s="189">
        <v>2.4300000000000002</v>
      </c>
      <c r="AG75" s="188">
        <v>2.6139800000000002</v>
      </c>
      <c r="AH75" s="188">
        <v>2.5299999999999998</v>
      </c>
      <c r="AI75" s="188">
        <v>2.5</v>
      </c>
      <c r="AJ75" s="189">
        <v>2.4</v>
      </c>
      <c r="AK75" s="188">
        <v>2.2000000000000002</v>
      </c>
      <c r="AL75" s="188">
        <v>2.1</v>
      </c>
      <c r="AM75" s="188">
        <v>2.1</v>
      </c>
      <c r="AN75" s="189">
        <v>2.1</v>
      </c>
      <c r="AO75" s="188">
        <v>2.2000000000000002</v>
      </c>
      <c r="AP75" s="188">
        <v>2.2000000000000002</v>
      </c>
      <c r="AQ75" s="188">
        <v>2.2000000000000002</v>
      </c>
      <c r="AR75" s="189">
        <v>2.2000000000000002</v>
      </c>
      <c r="AS75" s="188">
        <v>2.1</v>
      </c>
      <c r="AT75" s="188">
        <v>2.1514099999999998</v>
      </c>
    </row>
    <row r="76" spans="1:46" s="42" customFormat="1">
      <c r="A76" s="291" t="s">
        <v>457</v>
      </c>
      <c r="B76" s="279"/>
      <c r="C76" s="279"/>
      <c r="D76" s="342"/>
      <c r="E76" s="342"/>
      <c r="F76" s="375">
        <v>105272</v>
      </c>
      <c r="G76" s="375">
        <v>83317</v>
      </c>
      <c r="H76" s="375">
        <v>82383.483175000001</v>
      </c>
      <c r="I76" s="375">
        <v>91168</v>
      </c>
      <c r="J76" s="375">
        <v>93258</v>
      </c>
      <c r="K76" s="375">
        <v>102590</v>
      </c>
      <c r="L76" s="795"/>
      <c r="P76" s="71"/>
      <c r="T76" s="71"/>
      <c r="U76" s="58">
        <v>130231</v>
      </c>
      <c r="V76" s="58">
        <v>123288</v>
      </c>
      <c r="W76" s="58">
        <v>111924</v>
      </c>
      <c r="X76" s="215">
        <v>105272</v>
      </c>
      <c r="Y76" s="58">
        <v>96411</v>
      </c>
      <c r="Z76" s="58">
        <v>91425</v>
      </c>
      <c r="AA76" s="58">
        <v>87672</v>
      </c>
      <c r="AB76" s="215">
        <v>83317</v>
      </c>
      <c r="AC76" s="58">
        <v>79967</v>
      </c>
      <c r="AD76" s="58">
        <v>79944</v>
      </c>
      <c r="AE76" s="58">
        <v>80099</v>
      </c>
      <c r="AF76" s="215">
        <v>82383.483175000001</v>
      </c>
      <c r="AG76" s="58">
        <v>84890</v>
      </c>
      <c r="AH76" s="58">
        <v>85110</v>
      </c>
      <c r="AI76" s="58">
        <v>87590</v>
      </c>
      <c r="AJ76" s="215">
        <v>91168</v>
      </c>
      <c r="AK76" s="58">
        <v>91948</v>
      </c>
      <c r="AL76" s="58">
        <v>91822</v>
      </c>
      <c r="AM76" s="58">
        <v>89881</v>
      </c>
      <c r="AN76" s="215">
        <v>93258</v>
      </c>
      <c r="AO76" s="58">
        <v>96987</v>
      </c>
      <c r="AP76" s="58">
        <v>102310</v>
      </c>
      <c r="AQ76" s="58">
        <v>106070</v>
      </c>
      <c r="AR76" s="215">
        <v>102590</v>
      </c>
      <c r="AS76" s="58">
        <v>101961</v>
      </c>
      <c r="AT76" s="58">
        <v>100271</v>
      </c>
    </row>
    <row r="77" spans="1:46" s="42" customFormat="1" ht="10.5" thickBot="1">
      <c r="A77" s="447" t="s">
        <v>357</v>
      </c>
      <c r="B77" s="445">
        <v>5.37</v>
      </c>
      <c r="C77" s="445">
        <v>5.17</v>
      </c>
      <c r="D77" s="445">
        <v>6.2362976781598585</v>
      </c>
      <c r="E77" s="445">
        <v>5.6</v>
      </c>
      <c r="F77" s="445">
        <v>4.5</v>
      </c>
      <c r="G77" s="445">
        <v>4.0999999999999996</v>
      </c>
      <c r="H77" s="445">
        <v>3.6294593990042943</v>
      </c>
      <c r="I77" s="445">
        <v>3.18</v>
      </c>
      <c r="J77" s="445">
        <v>2.7</v>
      </c>
      <c r="K77" s="445">
        <v>2.7</v>
      </c>
      <c r="L77" s="795"/>
      <c r="M77" s="445">
        <v>5.6463888704720837</v>
      </c>
      <c r="N77" s="445">
        <v>5.548382319310428</v>
      </c>
      <c r="O77" s="445">
        <v>5.8304998739530012</v>
      </c>
      <c r="P77" s="446">
        <v>6.2362976781598585</v>
      </c>
      <c r="Q77" s="445">
        <v>6.2132534377407653</v>
      </c>
      <c r="R77" s="445">
        <v>6.2521680046773254</v>
      </c>
      <c r="S77" s="445">
        <v>6.2383032508052079</v>
      </c>
      <c r="T77" s="446">
        <v>5.6279778923314741</v>
      </c>
      <c r="U77" s="445">
        <v>5.4980342841943948</v>
      </c>
      <c r="V77" s="445">
        <v>5.1577854403756032</v>
      </c>
      <c r="W77" s="445">
        <v>4.6590176006662762</v>
      </c>
      <c r="X77" s="446">
        <v>4.5</v>
      </c>
      <c r="Y77" s="445">
        <v>4.2</v>
      </c>
      <c r="Z77" s="445">
        <v>4.2</v>
      </c>
      <c r="AA77" s="445">
        <v>4.2300000000000004</v>
      </c>
      <c r="AB77" s="446">
        <v>4.0999999999999996</v>
      </c>
      <c r="AC77" s="445">
        <v>3.93</v>
      </c>
      <c r="AD77" s="445">
        <v>3.8</v>
      </c>
      <c r="AE77" s="445">
        <v>3.7</v>
      </c>
      <c r="AF77" s="446">
        <v>3.6294593990042943</v>
      </c>
      <c r="AG77" s="445">
        <v>3.5</v>
      </c>
      <c r="AH77" s="445">
        <v>3.36</v>
      </c>
      <c r="AI77" s="445">
        <v>3.2</v>
      </c>
      <c r="AJ77" s="446">
        <v>3.18</v>
      </c>
      <c r="AK77" s="445">
        <v>3.14</v>
      </c>
      <c r="AL77" s="445">
        <v>2.82</v>
      </c>
      <c r="AM77" s="445">
        <v>2.7</v>
      </c>
      <c r="AN77" s="446">
        <v>2.7</v>
      </c>
      <c r="AO77" s="445">
        <v>2.7</v>
      </c>
      <c r="AP77" s="445">
        <v>2.9</v>
      </c>
      <c r="AQ77" s="445">
        <v>2.9</v>
      </c>
      <c r="AR77" s="446">
        <v>2.7</v>
      </c>
      <c r="AS77" s="445">
        <v>2.7</v>
      </c>
      <c r="AT77" s="445">
        <v>2.7</v>
      </c>
    </row>
    <row r="78" spans="1:46">
      <c r="A78" s="331" t="s">
        <v>455</v>
      </c>
      <c r="B78" s="122"/>
      <c r="C78" s="122"/>
      <c r="D78" s="122"/>
      <c r="E78" s="122"/>
      <c r="L78" s="795"/>
    </row>
    <row r="79" spans="1:46">
      <c r="A79" s="1" t="s">
        <v>802</v>
      </c>
      <c r="L79" s="795"/>
    </row>
  </sheetData>
  <hyperlinks>
    <hyperlink ref="A2" location="'START PAGE'!A1" display="Back to start page" xr:uid="{00000000-0004-0000-0A00-000000000000}"/>
  </hyperlinks>
  <pageMargins left="0" right="0" top="0.74803149606299213" bottom="0.74803149606299213" header="0.31496062992125984" footer="0.31496062992125984"/>
  <pageSetup paperSize="9" scale="51" orientation="landscape" r:id="rId1"/>
  <ignoredErrors>
    <ignoredError sqref="AK6:AL6"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3BC1-E350-478F-B001-5EDA3A4316BE}">
  <sheetPr>
    <tabColor rgb="FFFFC000"/>
    <pageSetUpPr fitToPage="1"/>
  </sheetPr>
  <dimension ref="A1:R141"/>
  <sheetViews>
    <sheetView showGridLines="0" zoomScaleNormal="100" workbookViewId="0"/>
  </sheetViews>
  <sheetFormatPr defaultColWidth="9" defaultRowHeight="10"/>
  <cols>
    <col min="1" max="1" width="10.08203125" style="320" customWidth="1"/>
    <col min="2" max="2" width="59.08203125" style="319" customWidth="1"/>
    <col min="3" max="3" width="9" style="910"/>
    <col min="4" max="4" width="8.58203125" style="910" customWidth="1"/>
    <col min="5" max="5" width="10.08203125" style="910" customWidth="1"/>
    <col min="6" max="6" width="10.08203125" style="910" bestFit="1" customWidth="1"/>
    <col min="7" max="10" width="10.08203125" style="910" customWidth="1"/>
    <col min="11" max="11" width="9" style="911"/>
    <col min="12" max="16384" width="9" style="319"/>
  </cols>
  <sheetData>
    <row r="1" spans="1:18" s="466" customFormat="1" ht="16" thickBot="1">
      <c r="A1" s="912" t="s">
        <v>1117</v>
      </c>
      <c r="B1" s="482"/>
      <c r="C1" s="482"/>
      <c r="D1" s="482"/>
      <c r="E1" s="482"/>
      <c r="F1" s="482"/>
      <c r="G1" s="482"/>
      <c r="H1" s="482"/>
      <c r="I1" s="482"/>
      <c r="J1" s="482"/>
      <c r="K1" s="482"/>
      <c r="L1" s="482"/>
      <c r="M1" s="482"/>
      <c r="N1" s="482"/>
      <c r="O1" s="482"/>
      <c r="P1" s="482"/>
      <c r="Q1" s="482"/>
      <c r="R1" s="482"/>
    </row>
    <row r="2" spans="1:18" ht="41" thickTop="1" thickBot="1">
      <c r="A2" s="909" t="s">
        <v>1116</v>
      </c>
      <c r="B2" s="823" t="s">
        <v>198</v>
      </c>
    </row>
    <row r="3" spans="1:18" ht="21.5" thickTop="1">
      <c r="A3" s="319"/>
      <c r="B3" s="913" t="s">
        <v>1118</v>
      </c>
      <c r="C3" s="914">
        <v>2018</v>
      </c>
      <c r="D3" s="914">
        <v>2019</v>
      </c>
      <c r="E3" s="914" t="s">
        <v>1119</v>
      </c>
      <c r="F3" s="914">
        <v>2020</v>
      </c>
      <c r="G3" s="914">
        <v>2021</v>
      </c>
      <c r="H3" s="914">
        <v>2022</v>
      </c>
      <c r="I3" s="914">
        <v>2023</v>
      </c>
      <c r="J3" s="914">
        <v>2024</v>
      </c>
      <c r="K3" s="914" t="s">
        <v>1120</v>
      </c>
    </row>
    <row r="4" spans="1:18" ht="10.5">
      <c r="A4" s="319"/>
      <c r="B4" s="915" t="s">
        <v>1121</v>
      </c>
      <c r="C4" s="916"/>
      <c r="D4" s="916"/>
      <c r="E4" s="916"/>
      <c r="F4" s="916"/>
      <c r="G4" s="916"/>
      <c r="H4" s="916"/>
      <c r="I4" s="916"/>
      <c r="J4" s="917"/>
      <c r="K4" s="917"/>
      <c r="L4" s="918"/>
      <c r="M4" s="464"/>
      <c r="N4" s="464"/>
    </row>
    <row r="5" spans="1:18">
      <c r="A5" s="319" t="s">
        <v>1122</v>
      </c>
      <c r="B5" s="107" t="s">
        <v>1123</v>
      </c>
      <c r="C5" s="919">
        <v>6</v>
      </c>
      <c r="D5" s="919">
        <v>6</v>
      </c>
      <c r="E5" s="919">
        <v>17</v>
      </c>
      <c r="F5" s="919">
        <v>5</v>
      </c>
      <c r="G5" s="919">
        <v>6</v>
      </c>
      <c r="H5" s="919">
        <v>8</v>
      </c>
      <c r="I5" s="919">
        <v>10</v>
      </c>
      <c r="J5" s="919">
        <v>12</v>
      </c>
      <c r="K5" s="919"/>
      <c r="L5" s="920"/>
      <c r="M5" s="464"/>
      <c r="N5" s="464"/>
    </row>
    <row r="6" spans="1:18">
      <c r="A6" s="319" t="s">
        <v>1122</v>
      </c>
      <c r="B6" s="107" t="s">
        <v>1124</v>
      </c>
      <c r="C6" s="919"/>
      <c r="D6" s="919"/>
      <c r="E6" s="919">
        <v>22</v>
      </c>
      <c r="F6" s="919"/>
      <c r="G6" s="919"/>
      <c r="H6" s="919"/>
      <c r="I6" s="919"/>
      <c r="J6" s="919">
        <v>18</v>
      </c>
      <c r="K6" s="919"/>
      <c r="L6" s="920"/>
      <c r="M6" s="464"/>
      <c r="N6" s="464"/>
    </row>
    <row r="7" spans="1:18">
      <c r="A7" s="319" t="s">
        <v>1122</v>
      </c>
      <c r="B7" s="107" t="s">
        <v>1125</v>
      </c>
      <c r="C7" s="919"/>
      <c r="D7" s="919">
        <v>6</v>
      </c>
      <c r="E7" s="919">
        <v>39</v>
      </c>
      <c r="F7" s="919"/>
      <c r="G7" s="919"/>
      <c r="H7" s="919"/>
      <c r="I7" s="919">
        <v>10</v>
      </c>
      <c r="J7" s="919">
        <v>30</v>
      </c>
      <c r="K7" s="919"/>
      <c r="L7" s="920"/>
      <c r="M7" s="464"/>
      <c r="N7" s="464"/>
    </row>
    <row r="8" spans="1:18">
      <c r="A8" s="319" t="s">
        <v>1122</v>
      </c>
      <c r="B8" s="107" t="s">
        <v>1126</v>
      </c>
      <c r="C8" s="919">
        <v>29</v>
      </c>
      <c r="D8" s="919">
        <v>22</v>
      </c>
      <c r="E8" s="919">
        <v>53</v>
      </c>
      <c r="F8" s="919">
        <v>22</v>
      </c>
      <c r="G8" s="919">
        <v>27</v>
      </c>
      <c r="H8" s="919">
        <v>18</v>
      </c>
      <c r="I8" s="919">
        <v>17</v>
      </c>
      <c r="J8" s="919">
        <v>20</v>
      </c>
      <c r="K8" s="919"/>
      <c r="L8" s="920"/>
    </row>
    <row r="9" spans="1:18">
      <c r="A9" s="319" t="s">
        <v>1122</v>
      </c>
      <c r="B9" s="107" t="s">
        <v>1127</v>
      </c>
      <c r="C9" s="919"/>
      <c r="D9" s="921"/>
      <c r="E9" s="921" t="s">
        <v>113</v>
      </c>
      <c r="F9" s="919"/>
      <c r="G9" s="919"/>
      <c r="H9" s="919"/>
      <c r="I9" s="921" t="s">
        <v>113</v>
      </c>
      <c r="J9" s="921" t="s">
        <v>113</v>
      </c>
      <c r="K9" s="919"/>
      <c r="L9" s="920"/>
    </row>
    <row r="10" spans="1:18">
      <c r="A10" s="319" t="s">
        <v>1122</v>
      </c>
      <c r="B10" s="107" t="s">
        <v>1128</v>
      </c>
      <c r="C10" s="919">
        <v>29</v>
      </c>
      <c r="D10" s="919">
        <v>22</v>
      </c>
      <c r="E10" s="919">
        <v>53</v>
      </c>
      <c r="F10" s="919">
        <v>22</v>
      </c>
      <c r="G10" s="919">
        <v>27</v>
      </c>
      <c r="H10" s="919">
        <v>18</v>
      </c>
      <c r="I10" s="919">
        <v>17</v>
      </c>
      <c r="J10" s="919">
        <v>20</v>
      </c>
      <c r="K10" s="919"/>
      <c r="L10" s="920"/>
    </row>
    <row r="11" spans="1:18">
      <c r="A11" s="319" t="s">
        <v>1122</v>
      </c>
      <c r="B11" s="107" t="s">
        <v>1129</v>
      </c>
      <c r="C11" s="919">
        <v>33</v>
      </c>
      <c r="D11" s="919"/>
      <c r="E11" s="919">
        <v>58</v>
      </c>
      <c r="F11" s="919">
        <v>27</v>
      </c>
      <c r="G11" s="919">
        <v>36</v>
      </c>
      <c r="H11" s="919">
        <v>31</v>
      </c>
      <c r="I11" s="919">
        <v>32</v>
      </c>
      <c r="J11" s="919">
        <v>36</v>
      </c>
      <c r="K11" s="919"/>
      <c r="L11" s="920"/>
    </row>
    <row r="12" spans="1:18">
      <c r="A12" s="319" t="s">
        <v>1130</v>
      </c>
      <c r="B12" s="107" t="s">
        <v>1131</v>
      </c>
      <c r="C12" s="919">
        <v>35</v>
      </c>
      <c r="D12" s="919">
        <v>28</v>
      </c>
      <c r="E12" s="919">
        <v>92</v>
      </c>
      <c r="F12" s="919">
        <v>27</v>
      </c>
      <c r="G12" s="919">
        <v>33</v>
      </c>
      <c r="H12" s="919">
        <v>26</v>
      </c>
      <c r="I12" s="919">
        <v>27</v>
      </c>
      <c r="J12" s="919">
        <v>49</v>
      </c>
      <c r="K12" s="41"/>
      <c r="L12" s="920"/>
    </row>
    <row r="13" spans="1:18">
      <c r="A13" s="319"/>
      <c r="B13" s="922" t="s">
        <v>1132</v>
      </c>
      <c r="C13" s="919"/>
      <c r="D13" s="919"/>
      <c r="E13" s="919"/>
      <c r="F13" s="919"/>
      <c r="G13" s="919"/>
      <c r="H13" s="919"/>
      <c r="I13" s="919"/>
      <c r="J13" s="919"/>
      <c r="K13" s="919">
        <v>53</v>
      </c>
      <c r="L13" s="920"/>
    </row>
    <row r="14" spans="1:18">
      <c r="A14" s="319" t="s">
        <v>1122</v>
      </c>
      <c r="B14" s="107" t="s">
        <v>1133</v>
      </c>
      <c r="C14" s="919"/>
      <c r="D14" s="919"/>
      <c r="E14" s="919">
        <v>694</v>
      </c>
      <c r="F14" s="919"/>
      <c r="G14" s="919"/>
      <c r="H14" s="919"/>
      <c r="I14" s="919">
        <v>919</v>
      </c>
      <c r="J14" s="919">
        <v>770</v>
      </c>
      <c r="K14" s="41"/>
      <c r="L14" s="920"/>
    </row>
    <row r="15" spans="1:18">
      <c r="A15" s="319"/>
      <c r="B15" s="922" t="s">
        <v>1132</v>
      </c>
      <c r="C15" s="919"/>
      <c r="D15" s="919"/>
      <c r="E15" s="919"/>
      <c r="F15" s="919"/>
      <c r="G15" s="919"/>
      <c r="H15" s="919"/>
      <c r="I15" s="919"/>
      <c r="J15" s="919"/>
      <c r="K15" s="919">
        <v>799</v>
      </c>
      <c r="L15" s="920"/>
    </row>
    <row r="16" spans="1:18">
      <c r="A16" s="319" t="s">
        <v>1122</v>
      </c>
      <c r="B16" s="107" t="s">
        <v>1134</v>
      </c>
      <c r="C16" s="919">
        <v>128</v>
      </c>
      <c r="D16" s="919">
        <v>105</v>
      </c>
      <c r="E16" s="919">
        <v>160</v>
      </c>
      <c r="F16" s="919">
        <v>83</v>
      </c>
      <c r="G16" s="919">
        <v>82</v>
      </c>
      <c r="H16" s="919">
        <v>91</v>
      </c>
      <c r="I16" s="919">
        <v>99</v>
      </c>
      <c r="J16" s="919">
        <v>121</v>
      </c>
      <c r="K16" s="41"/>
      <c r="L16" s="920"/>
    </row>
    <row r="17" spans="1:14">
      <c r="A17" s="319"/>
      <c r="B17" s="922" t="s">
        <v>1132</v>
      </c>
      <c r="C17" s="919"/>
      <c r="D17" s="919"/>
      <c r="E17" s="919"/>
      <c r="F17" s="919"/>
      <c r="G17" s="919"/>
      <c r="H17" s="919"/>
      <c r="I17" s="919"/>
      <c r="J17" s="919"/>
      <c r="K17" s="919">
        <v>134</v>
      </c>
      <c r="L17" s="920"/>
    </row>
    <row r="18" spans="1:14">
      <c r="A18" s="319" t="s">
        <v>1122</v>
      </c>
      <c r="B18" s="107" t="s">
        <v>1135</v>
      </c>
      <c r="C18" s="41"/>
      <c r="D18" s="305">
        <v>5326</v>
      </c>
      <c r="E18" s="305">
        <v>6304</v>
      </c>
      <c r="F18" s="305">
        <v>3815</v>
      </c>
      <c r="G18" s="305">
        <v>4825</v>
      </c>
      <c r="H18" s="305">
        <v>5186</v>
      </c>
      <c r="I18" s="305">
        <v>5653</v>
      </c>
      <c r="J18" s="305">
        <v>5709</v>
      </c>
      <c r="K18" s="41"/>
      <c r="L18" s="923"/>
    </row>
    <row r="19" spans="1:14">
      <c r="A19" s="319"/>
      <c r="B19" s="922" t="s">
        <v>1132</v>
      </c>
      <c r="C19" s="41"/>
      <c r="D19" s="305"/>
      <c r="E19" s="305"/>
      <c r="F19" s="305"/>
      <c r="G19" s="305"/>
      <c r="H19" s="305"/>
      <c r="I19" s="305">
        <v>4861</v>
      </c>
      <c r="J19" s="305">
        <v>6325</v>
      </c>
      <c r="K19" s="305">
        <v>5736</v>
      </c>
      <c r="L19" s="923"/>
    </row>
    <row r="20" spans="1:14">
      <c r="A20" s="319" t="s">
        <v>1136</v>
      </c>
      <c r="B20" s="107" t="s">
        <v>1137</v>
      </c>
      <c r="C20" s="919"/>
      <c r="D20" s="924"/>
      <c r="E20" s="924"/>
      <c r="F20" s="924"/>
      <c r="G20" s="41">
        <v>35</v>
      </c>
      <c r="H20" s="41">
        <v>39</v>
      </c>
      <c r="I20" s="41">
        <v>42</v>
      </c>
      <c r="J20" s="41">
        <v>42</v>
      </c>
      <c r="K20" s="924"/>
      <c r="L20" s="925"/>
    </row>
    <row r="21" spans="1:14">
      <c r="A21" s="319"/>
      <c r="B21" s="922" t="s">
        <v>1132</v>
      </c>
      <c r="C21" s="919"/>
      <c r="D21" s="924"/>
      <c r="E21" s="924"/>
      <c r="F21" s="924"/>
      <c r="G21" s="41"/>
      <c r="H21" s="41"/>
      <c r="I21" s="41">
        <v>45</v>
      </c>
      <c r="J21" s="41">
        <v>45</v>
      </c>
      <c r="K21" s="41">
        <v>47</v>
      </c>
      <c r="L21" s="925"/>
    </row>
    <row r="22" spans="1:14">
      <c r="A22" s="319" t="s">
        <v>1122</v>
      </c>
      <c r="B22" s="107" t="s">
        <v>1138</v>
      </c>
      <c r="C22" s="919"/>
      <c r="D22" s="924"/>
      <c r="E22" s="924"/>
      <c r="F22" s="924"/>
      <c r="G22" s="41"/>
      <c r="H22" s="41"/>
      <c r="I22" s="921" t="s">
        <v>1139</v>
      </c>
      <c r="J22" s="921" t="s">
        <v>1140</v>
      </c>
      <c r="K22" s="41"/>
      <c r="L22" s="925"/>
    </row>
    <row r="23" spans="1:14">
      <c r="A23" s="319" t="s">
        <v>1122</v>
      </c>
      <c r="B23" s="107" t="s">
        <v>1141</v>
      </c>
      <c r="C23" s="919"/>
      <c r="D23" s="924"/>
      <c r="E23" s="924"/>
      <c r="F23" s="924"/>
      <c r="G23" s="41"/>
      <c r="H23" s="41"/>
      <c r="I23" s="921" t="s">
        <v>1139</v>
      </c>
      <c r="J23" s="921" t="s">
        <v>1140</v>
      </c>
      <c r="K23" s="41"/>
      <c r="L23" s="925"/>
    </row>
    <row r="24" spans="1:14" ht="10.5">
      <c r="A24" s="319"/>
      <c r="B24" s="417" t="s">
        <v>1142</v>
      </c>
      <c r="C24" s="917"/>
      <c r="D24" s="917"/>
      <c r="E24" s="917"/>
      <c r="F24" s="917"/>
      <c r="G24" s="917"/>
      <c r="H24" s="917"/>
      <c r="I24" s="917"/>
      <c r="J24" s="917"/>
      <c r="K24" s="917"/>
      <c r="L24" s="918"/>
    </row>
    <row r="25" spans="1:14">
      <c r="A25" s="319" t="s">
        <v>1143</v>
      </c>
      <c r="B25" s="107" t="s">
        <v>1144</v>
      </c>
      <c r="C25" s="919"/>
      <c r="D25" s="919"/>
      <c r="E25" s="919"/>
      <c r="F25" s="919"/>
      <c r="G25" s="919"/>
      <c r="H25" s="919"/>
      <c r="I25" s="919">
        <v>86</v>
      </c>
      <c r="J25" s="919">
        <v>172</v>
      </c>
      <c r="K25" s="919"/>
      <c r="L25" s="1096"/>
      <c r="M25" s="464"/>
      <c r="N25" s="464"/>
    </row>
    <row r="26" spans="1:14">
      <c r="A26" s="319" t="s">
        <v>1143</v>
      </c>
      <c r="B26" s="107" t="s">
        <v>1145</v>
      </c>
      <c r="C26" s="919"/>
      <c r="D26" s="919"/>
      <c r="E26" s="919"/>
      <c r="F26" s="919"/>
      <c r="G26" s="919"/>
      <c r="H26" s="919"/>
      <c r="I26" s="919">
        <v>0</v>
      </c>
      <c r="J26" s="919">
        <v>1</v>
      </c>
      <c r="K26" s="919"/>
      <c r="L26" s="1096"/>
      <c r="M26" s="464"/>
      <c r="N26" s="464"/>
    </row>
    <row r="27" spans="1:14">
      <c r="A27" s="319" t="s">
        <v>1143</v>
      </c>
      <c r="B27" s="107" t="s">
        <v>1146</v>
      </c>
      <c r="C27" s="41"/>
      <c r="D27" s="41"/>
      <c r="E27" s="41"/>
      <c r="F27" s="41"/>
      <c r="G27" s="41"/>
      <c r="H27" s="41"/>
      <c r="I27" s="919">
        <v>112</v>
      </c>
      <c r="J27" s="919">
        <v>118</v>
      </c>
      <c r="K27" s="919"/>
      <c r="L27" s="1096"/>
      <c r="M27" s="464"/>
      <c r="N27" s="464"/>
    </row>
    <row r="28" spans="1:14">
      <c r="A28" s="319" t="s">
        <v>1143</v>
      </c>
      <c r="B28" s="107" t="s">
        <v>1147</v>
      </c>
      <c r="C28" s="919">
        <v>172</v>
      </c>
      <c r="D28" s="919">
        <v>161</v>
      </c>
      <c r="E28" s="919"/>
      <c r="F28" s="919">
        <v>146</v>
      </c>
      <c r="G28" s="919">
        <v>177</v>
      </c>
      <c r="H28" s="919">
        <v>175</v>
      </c>
      <c r="I28" s="919">
        <v>198</v>
      </c>
      <c r="J28" s="919">
        <v>291</v>
      </c>
      <c r="K28" s="919"/>
      <c r="L28" s="1096"/>
      <c r="M28" s="464"/>
      <c r="N28" s="464"/>
    </row>
    <row r="29" spans="1:14">
      <c r="A29" s="319" t="s">
        <v>1143</v>
      </c>
      <c r="B29" s="107" t="s">
        <v>1148</v>
      </c>
      <c r="C29" s="919">
        <v>49</v>
      </c>
      <c r="D29" s="919">
        <v>39</v>
      </c>
      <c r="E29" s="919"/>
      <c r="F29" s="919">
        <v>57</v>
      </c>
      <c r="G29" s="919">
        <v>53</v>
      </c>
      <c r="H29" s="919">
        <v>60</v>
      </c>
      <c r="I29" s="919">
        <v>56</v>
      </c>
      <c r="J29" s="919">
        <v>59</v>
      </c>
      <c r="K29" s="919"/>
      <c r="L29" s="1096"/>
      <c r="M29" s="464"/>
      <c r="N29" s="464"/>
    </row>
    <row r="30" spans="1:14">
      <c r="A30" s="319"/>
      <c r="B30" s="922" t="s">
        <v>1132</v>
      </c>
      <c r="C30" s="919"/>
      <c r="D30" s="919"/>
      <c r="E30" s="919"/>
      <c r="F30" s="919"/>
      <c r="G30" s="919"/>
      <c r="H30" s="919"/>
      <c r="I30" s="919"/>
      <c r="J30" s="919">
        <v>64</v>
      </c>
      <c r="K30" s="919">
        <v>58</v>
      </c>
      <c r="L30" s="1096"/>
      <c r="M30" s="464"/>
      <c r="N30" s="464"/>
    </row>
    <row r="31" spans="1:14">
      <c r="A31" s="319" t="s">
        <v>1143</v>
      </c>
      <c r="B31" s="107" t="s">
        <v>1149</v>
      </c>
      <c r="C31" s="919"/>
      <c r="D31" s="919"/>
      <c r="E31" s="919"/>
      <c r="F31" s="919"/>
      <c r="G31" s="919"/>
      <c r="H31" s="919"/>
      <c r="I31" s="919">
        <v>57</v>
      </c>
      <c r="J31" s="919">
        <v>41</v>
      </c>
      <c r="K31" s="919"/>
      <c r="L31" s="1096"/>
      <c r="M31" s="464"/>
      <c r="N31" s="464"/>
    </row>
    <row r="32" spans="1:14">
      <c r="A32" s="319" t="s">
        <v>1143</v>
      </c>
      <c r="B32" s="107" t="s">
        <v>1150</v>
      </c>
      <c r="C32" s="919"/>
      <c r="D32" s="919"/>
      <c r="E32" s="919"/>
      <c r="F32" s="919"/>
      <c r="G32" s="919"/>
      <c r="H32" s="919"/>
      <c r="I32" s="919">
        <v>61</v>
      </c>
      <c r="J32" s="919">
        <v>44</v>
      </c>
      <c r="K32" s="919"/>
      <c r="L32" s="1096"/>
      <c r="M32" s="464"/>
      <c r="N32" s="464"/>
    </row>
    <row r="33" spans="1:14" ht="10.5">
      <c r="A33" s="319" t="s">
        <v>1143</v>
      </c>
      <c r="B33" s="107" t="s">
        <v>1151</v>
      </c>
      <c r="C33" s="919"/>
      <c r="D33" s="919"/>
      <c r="E33" s="919"/>
      <c r="F33" s="919"/>
      <c r="G33" s="919"/>
      <c r="H33" s="919"/>
      <c r="I33" s="921" t="s">
        <v>1152</v>
      </c>
      <c r="J33" s="921" t="s">
        <v>1153</v>
      </c>
      <c r="K33" s="919"/>
      <c r="L33" s="926"/>
      <c r="M33" s="464"/>
      <c r="N33" s="464"/>
    </row>
    <row r="34" spans="1:14" ht="10.5">
      <c r="A34" s="319"/>
      <c r="B34" s="915" t="s">
        <v>1154</v>
      </c>
      <c r="C34" s="917"/>
      <c r="D34" s="917"/>
      <c r="E34" s="917"/>
      <c r="F34" s="917"/>
      <c r="G34" s="917"/>
      <c r="H34" s="917"/>
      <c r="I34" s="917"/>
      <c r="J34" s="917"/>
      <c r="K34" s="917"/>
    </row>
    <row r="35" spans="1:14">
      <c r="A35" s="319" t="s">
        <v>1155</v>
      </c>
      <c r="B35" s="107" t="s">
        <v>1156</v>
      </c>
      <c r="C35" s="919">
        <v>65</v>
      </c>
      <c r="D35" s="919">
        <v>55</v>
      </c>
      <c r="E35" s="919"/>
      <c r="F35" s="919">
        <v>82</v>
      </c>
      <c r="G35" s="919">
        <v>95</v>
      </c>
      <c r="H35" s="919">
        <v>85</v>
      </c>
      <c r="I35" s="919">
        <v>116</v>
      </c>
      <c r="J35" s="919">
        <v>147</v>
      </c>
      <c r="K35" s="924"/>
    </row>
    <row r="36" spans="1:14">
      <c r="A36" s="319" t="s">
        <v>1155</v>
      </c>
      <c r="B36" s="107" t="s">
        <v>1157</v>
      </c>
      <c r="C36" s="927">
        <v>2.9</v>
      </c>
      <c r="D36" s="927">
        <v>2.4</v>
      </c>
      <c r="E36" s="927"/>
      <c r="F36" s="927">
        <v>4</v>
      </c>
      <c r="G36" s="927">
        <v>4.2</v>
      </c>
      <c r="H36" s="927">
        <v>3</v>
      </c>
      <c r="I36" s="927">
        <v>3.3</v>
      </c>
      <c r="J36" s="927">
        <v>3.37</v>
      </c>
      <c r="K36" s="924"/>
    </row>
    <row r="37" spans="1:14">
      <c r="A37" s="319"/>
      <c r="B37" s="922" t="s">
        <v>1132</v>
      </c>
      <c r="C37" s="928"/>
      <c r="D37" s="924"/>
      <c r="E37" s="924"/>
      <c r="F37" s="924"/>
      <c r="G37" s="924"/>
      <c r="H37" s="924"/>
      <c r="I37" s="924">
        <v>3.2</v>
      </c>
      <c r="J37" s="924">
        <v>3.3</v>
      </c>
      <c r="K37" s="929" t="s">
        <v>1158</v>
      </c>
    </row>
    <row r="38" spans="1:14" ht="10.5">
      <c r="A38" s="319"/>
      <c r="B38" s="930" t="s">
        <v>1159</v>
      </c>
      <c r="C38" s="931"/>
      <c r="D38" s="931"/>
      <c r="E38" s="931"/>
      <c r="F38" s="931"/>
      <c r="G38" s="931"/>
      <c r="H38" s="931"/>
      <c r="I38" s="931"/>
      <c r="J38" s="932"/>
      <c r="K38" s="932"/>
    </row>
    <row r="39" spans="1:14">
      <c r="A39" s="319" t="s">
        <v>1160</v>
      </c>
      <c r="B39" s="319" t="s">
        <v>1161</v>
      </c>
      <c r="C39" s="933"/>
      <c r="D39" s="933"/>
      <c r="E39" s="933"/>
      <c r="F39" s="933"/>
      <c r="G39" s="934" t="s">
        <v>113</v>
      </c>
      <c r="H39" s="935">
        <v>0.7</v>
      </c>
      <c r="I39" s="933">
        <v>0</v>
      </c>
      <c r="J39" s="933">
        <v>0</v>
      </c>
    </row>
    <row r="40" spans="1:14">
      <c r="A40" s="319" t="s">
        <v>1160</v>
      </c>
      <c r="B40" s="319" t="s">
        <v>1162</v>
      </c>
      <c r="G40" s="936">
        <v>0.6</v>
      </c>
      <c r="H40" s="936">
        <v>0.9</v>
      </c>
      <c r="I40" s="936">
        <v>4.0999999999999996</v>
      </c>
      <c r="J40" s="936">
        <v>4.7</v>
      </c>
    </row>
    <row r="41" spans="1:14">
      <c r="A41" s="319" t="s">
        <v>1163</v>
      </c>
      <c r="B41" s="319" t="s">
        <v>1164</v>
      </c>
      <c r="G41" s="936">
        <v>7.6</v>
      </c>
      <c r="H41" s="936">
        <v>6.7</v>
      </c>
      <c r="I41" s="936">
        <v>9</v>
      </c>
      <c r="J41" s="936">
        <v>9</v>
      </c>
    </row>
    <row r="42" spans="1:14">
      <c r="A42" s="319" t="s">
        <v>1165</v>
      </c>
      <c r="B42" s="319" t="s">
        <v>1166</v>
      </c>
      <c r="G42" s="936">
        <v>10.1</v>
      </c>
      <c r="H42" s="936">
        <v>13.6</v>
      </c>
      <c r="I42" s="936">
        <v>15.7</v>
      </c>
      <c r="J42" s="936">
        <v>12.5</v>
      </c>
    </row>
    <row r="43" spans="1:14">
      <c r="A43" s="319" t="s">
        <v>1167</v>
      </c>
      <c r="B43" s="319" t="s">
        <v>1168</v>
      </c>
      <c r="G43" s="936">
        <v>11.2</v>
      </c>
      <c r="H43" s="936">
        <v>10.5</v>
      </c>
      <c r="I43" s="936">
        <v>13.6</v>
      </c>
      <c r="J43" s="936">
        <v>13.1</v>
      </c>
      <c r="K43" s="937"/>
    </row>
    <row r="44" spans="1:14">
      <c r="A44" s="319"/>
      <c r="G44" s="936"/>
      <c r="H44" s="936"/>
      <c r="I44" s="936"/>
      <c r="J44" s="938"/>
      <c r="K44" s="937"/>
    </row>
    <row r="45" spans="1:14" ht="10.5">
      <c r="A45" s="319"/>
      <c r="B45" s="939" t="s">
        <v>1169</v>
      </c>
      <c r="C45" s="940">
        <v>2018</v>
      </c>
      <c r="D45" s="940">
        <v>2019</v>
      </c>
      <c r="E45" s="940">
        <v>2020</v>
      </c>
      <c r="F45" s="940">
        <v>2021</v>
      </c>
      <c r="G45" s="940">
        <v>2022</v>
      </c>
      <c r="H45" s="940">
        <v>2023</v>
      </c>
      <c r="I45" s="940">
        <v>2024</v>
      </c>
      <c r="J45" s="940" t="s">
        <v>1120</v>
      </c>
    </row>
    <row r="46" spans="1:14" ht="10.5">
      <c r="A46" s="319"/>
      <c r="B46" s="930" t="s">
        <v>1170</v>
      </c>
      <c r="C46" s="931"/>
      <c r="D46" s="931"/>
      <c r="E46" s="931"/>
      <c r="F46" s="931"/>
      <c r="G46" s="931"/>
      <c r="H46" s="931"/>
      <c r="I46" s="932"/>
      <c r="J46" s="932"/>
    </row>
    <row r="47" spans="1:14" s="66" customFormat="1">
      <c r="A47" s="66" t="s">
        <v>1171</v>
      </c>
      <c r="B47" s="391" t="s">
        <v>303</v>
      </c>
      <c r="C47" s="58">
        <v>13847</v>
      </c>
      <c r="D47" s="58">
        <v>14268</v>
      </c>
      <c r="E47" s="58">
        <v>13840</v>
      </c>
      <c r="F47" s="58">
        <v>15529</v>
      </c>
      <c r="G47" s="58">
        <v>16996</v>
      </c>
      <c r="H47" s="58">
        <v>18211</v>
      </c>
      <c r="I47" s="843">
        <v>18874</v>
      </c>
      <c r="J47" s="42"/>
    </row>
    <row r="48" spans="1:14" s="66" customFormat="1">
      <c r="A48" s="66" t="s">
        <v>1171</v>
      </c>
      <c r="B48" s="391" t="s">
        <v>304</v>
      </c>
      <c r="C48" s="58">
        <v>1610</v>
      </c>
      <c r="D48" s="58">
        <v>1366</v>
      </c>
      <c r="E48" s="58">
        <v>1109</v>
      </c>
      <c r="F48" s="58">
        <v>1474</v>
      </c>
      <c r="G48" s="58">
        <v>1630</v>
      </c>
      <c r="H48" s="58">
        <v>1762</v>
      </c>
      <c r="I48" s="843">
        <v>1495</v>
      </c>
      <c r="J48" s="42"/>
    </row>
    <row r="49" spans="1:10" s="66" customFormat="1">
      <c r="A49" s="319" t="s">
        <v>1172</v>
      </c>
      <c r="B49" s="319" t="s">
        <v>1173</v>
      </c>
      <c r="C49" s="919">
        <v>30</v>
      </c>
      <c r="D49" s="919">
        <v>32</v>
      </c>
      <c r="E49" s="919">
        <v>33</v>
      </c>
      <c r="F49" s="919">
        <v>34</v>
      </c>
      <c r="G49" s="919">
        <v>32</v>
      </c>
      <c r="H49" s="919">
        <v>39</v>
      </c>
      <c r="I49" s="592">
        <v>39</v>
      </c>
      <c r="J49" s="941"/>
    </row>
    <row r="50" spans="1:10" s="66" customFormat="1">
      <c r="A50" s="319" t="s">
        <v>1174</v>
      </c>
      <c r="B50" s="319" t="s">
        <v>1175</v>
      </c>
      <c r="C50" s="942">
        <v>7.4</v>
      </c>
      <c r="D50" s="942">
        <v>7.4</v>
      </c>
      <c r="E50" s="942">
        <v>5.5</v>
      </c>
      <c r="F50" s="942">
        <v>6.9</v>
      </c>
      <c r="G50" s="942">
        <v>8.8000000000000007</v>
      </c>
      <c r="H50" s="942">
        <v>6.9</v>
      </c>
      <c r="I50" s="592">
        <v>6.8</v>
      </c>
      <c r="J50" s="924"/>
    </row>
    <row r="51" spans="1:10" s="66" customFormat="1">
      <c r="A51" s="319" t="s">
        <v>1174</v>
      </c>
      <c r="B51" s="319" t="s">
        <v>1176</v>
      </c>
      <c r="C51" s="942"/>
      <c r="D51" s="942"/>
      <c r="E51" s="942"/>
      <c r="F51" s="942"/>
      <c r="G51" s="942"/>
      <c r="H51" s="942"/>
      <c r="I51" s="592">
        <v>15</v>
      </c>
      <c r="J51" s="924"/>
    </row>
    <row r="52" spans="1:10" s="66" customFormat="1">
      <c r="A52" s="319" t="s">
        <v>1174</v>
      </c>
      <c r="B52" s="319" t="s">
        <v>1177</v>
      </c>
      <c r="C52" s="942"/>
      <c r="D52" s="942"/>
      <c r="E52" s="942"/>
      <c r="F52" s="942"/>
      <c r="G52" s="942"/>
      <c r="H52" s="919">
        <v>2431</v>
      </c>
      <c r="I52" s="592">
        <v>3098</v>
      </c>
      <c r="J52" s="924"/>
    </row>
    <row r="53" spans="1:10" s="66" customFormat="1" ht="20">
      <c r="A53" s="943" t="s">
        <v>1178</v>
      </c>
      <c r="B53" s="944" t="s">
        <v>1179</v>
      </c>
      <c r="C53" s="942"/>
      <c r="D53" s="942"/>
      <c r="E53" s="942"/>
      <c r="F53" s="942"/>
      <c r="G53" s="942"/>
      <c r="H53" s="919"/>
      <c r="I53" s="592">
        <v>9829</v>
      </c>
      <c r="J53" s="924"/>
    </row>
    <row r="54" spans="1:10" s="66" customFormat="1">
      <c r="A54" s="319"/>
      <c r="B54" s="945" t="s">
        <v>807</v>
      </c>
      <c r="C54" s="942"/>
      <c r="D54" s="942"/>
      <c r="E54" s="942"/>
      <c r="F54" s="942"/>
      <c r="G54" s="942"/>
      <c r="H54" s="919"/>
      <c r="I54" s="592">
        <v>3550</v>
      </c>
      <c r="J54" s="924"/>
    </row>
    <row r="55" spans="1:10" s="66" customFormat="1">
      <c r="A55" s="319"/>
      <c r="B55" s="453" t="s">
        <v>1180</v>
      </c>
      <c r="C55" s="942"/>
      <c r="D55" s="942"/>
      <c r="E55" s="942"/>
      <c r="F55" s="942"/>
      <c r="G55" s="942"/>
      <c r="H55" s="919"/>
      <c r="I55" s="592">
        <v>2253</v>
      </c>
      <c r="J55" s="924"/>
    </row>
    <row r="56" spans="1:10" s="66" customFormat="1">
      <c r="A56" s="319"/>
      <c r="B56" s="453" t="s">
        <v>403</v>
      </c>
      <c r="C56" s="942"/>
      <c r="D56" s="942"/>
      <c r="E56" s="942"/>
      <c r="F56" s="942"/>
      <c r="G56" s="942"/>
      <c r="H56" s="919"/>
      <c r="I56" s="592">
        <v>2131</v>
      </c>
      <c r="J56" s="924"/>
    </row>
    <row r="57" spans="1:10" s="66" customFormat="1">
      <c r="A57" s="319"/>
      <c r="B57" s="453" t="s">
        <v>386</v>
      </c>
      <c r="C57" s="942"/>
      <c r="D57" s="942"/>
      <c r="E57" s="942"/>
      <c r="F57" s="942"/>
      <c r="G57" s="942"/>
      <c r="H57" s="919"/>
      <c r="I57" s="592">
        <v>1895</v>
      </c>
      <c r="J57" s="924"/>
    </row>
    <row r="58" spans="1:10" s="66" customFormat="1">
      <c r="A58" s="66" t="s">
        <v>1181</v>
      </c>
      <c r="B58" s="66" t="s">
        <v>1182</v>
      </c>
      <c r="C58" s="42"/>
      <c r="D58" s="42"/>
      <c r="E58" s="42"/>
      <c r="F58" s="42"/>
      <c r="G58" s="42"/>
      <c r="H58" s="42"/>
      <c r="I58" s="843">
        <v>18600</v>
      </c>
      <c r="J58" s="42"/>
    </row>
    <row r="59" spans="1:10" s="66" customFormat="1">
      <c r="A59" s="66" t="s">
        <v>1181</v>
      </c>
      <c r="B59" s="66" t="s">
        <v>1183</v>
      </c>
      <c r="C59" s="42"/>
      <c r="D59" s="42"/>
      <c r="E59" s="42"/>
      <c r="F59" s="42"/>
      <c r="G59" s="42"/>
      <c r="H59" s="42"/>
      <c r="I59" s="843">
        <v>273</v>
      </c>
      <c r="J59" s="42"/>
    </row>
    <row r="60" spans="1:10" s="66" customFormat="1">
      <c r="A60" s="66" t="s">
        <v>1181</v>
      </c>
      <c r="B60" s="66" t="s">
        <v>1184</v>
      </c>
      <c r="C60" s="42"/>
      <c r="D60" s="42"/>
      <c r="E60" s="42"/>
      <c r="F60" s="42"/>
      <c r="G60" s="42"/>
      <c r="H60" s="42"/>
      <c r="I60" s="843">
        <v>534</v>
      </c>
      <c r="J60" s="42"/>
    </row>
    <row r="61" spans="1:10" s="66" customFormat="1">
      <c r="A61" s="66" t="s">
        <v>1181</v>
      </c>
      <c r="B61" s="66" t="s">
        <v>1185</v>
      </c>
      <c r="C61" s="42"/>
      <c r="D61" s="42"/>
      <c r="E61" s="42"/>
      <c r="F61" s="42"/>
      <c r="G61" s="42"/>
      <c r="H61" s="42"/>
      <c r="I61" s="843">
        <v>18655</v>
      </c>
      <c r="J61" s="42"/>
    </row>
    <row r="62" spans="1:10" s="66" customFormat="1">
      <c r="A62" s="66" t="s">
        <v>1181</v>
      </c>
      <c r="B62" s="66" t="s">
        <v>1186</v>
      </c>
      <c r="C62" s="42"/>
      <c r="D62" s="42"/>
      <c r="E62" s="42"/>
      <c r="F62" s="42"/>
      <c r="G62" s="42"/>
      <c r="H62" s="42"/>
      <c r="I62" s="843">
        <v>219</v>
      </c>
      <c r="J62" s="42"/>
    </row>
    <row r="63" spans="1:10" s="66" customFormat="1">
      <c r="A63" s="319" t="s">
        <v>1178</v>
      </c>
      <c r="B63" s="319" t="s">
        <v>1187</v>
      </c>
      <c r="C63" s="919">
        <v>42</v>
      </c>
      <c r="D63" s="919">
        <v>45</v>
      </c>
      <c r="E63" s="919">
        <v>44</v>
      </c>
      <c r="F63" s="919">
        <v>40</v>
      </c>
      <c r="G63" s="919">
        <v>39</v>
      </c>
      <c r="H63" s="919">
        <v>39</v>
      </c>
      <c r="I63" s="919">
        <v>37</v>
      </c>
      <c r="J63" s="941"/>
    </row>
    <row r="64" spans="1:10" s="66" customFormat="1">
      <c r="A64" s="319" t="s">
        <v>1188</v>
      </c>
      <c r="B64" s="107" t="s">
        <v>1189</v>
      </c>
      <c r="C64" s="946">
        <v>16</v>
      </c>
      <c r="D64" s="942">
        <v>15.5</v>
      </c>
      <c r="E64" s="942">
        <v>15.7</v>
      </c>
      <c r="F64" s="942">
        <v>17.100000000000001</v>
      </c>
      <c r="G64" s="942">
        <v>18.2</v>
      </c>
      <c r="H64" s="942">
        <v>19</v>
      </c>
      <c r="I64" s="942">
        <v>19.78</v>
      </c>
      <c r="J64" s="942"/>
    </row>
    <row r="65" spans="1:17" s="66" customFormat="1">
      <c r="A65" s="319"/>
      <c r="B65" s="947" t="s">
        <v>1132</v>
      </c>
      <c r="C65" s="919"/>
      <c r="D65" s="941"/>
      <c r="E65" s="941"/>
      <c r="F65" s="941"/>
      <c r="G65" s="941"/>
      <c r="H65" s="941">
        <v>19.3</v>
      </c>
      <c r="I65" s="941">
        <v>19.600000000000001</v>
      </c>
      <c r="J65" s="948" t="s">
        <v>1190</v>
      </c>
    </row>
    <row r="66" spans="1:17" s="66" customFormat="1">
      <c r="A66" s="319" t="s">
        <v>1188</v>
      </c>
      <c r="B66" s="319" t="s">
        <v>1191</v>
      </c>
      <c r="C66" s="919"/>
      <c r="D66" s="942">
        <v>11.8</v>
      </c>
      <c r="E66" s="942"/>
      <c r="F66" s="942"/>
      <c r="G66" s="942"/>
      <c r="H66" s="942">
        <v>18.399999999999999</v>
      </c>
      <c r="I66" s="942">
        <v>17.7</v>
      </c>
      <c r="J66" s="941"/>
    </row>
    <row r="67" spans="1:17" s="66" customFormat="1">
      <c r="A67" s="319" t="s">
        <v>1188</v>
      </c>
      <c r="B67" s="319" t="s">
        <v>1192</v>
      </c>
      <c r="C67" s="919"/>
      <c r="D67" s="942">
        <v>14.8</v>
      </c>
      <c r="E67" s="942"/>
      <c r="F67" s="942"/>
      <c r="G67" s="942"/>
      <c r="H67" s="942">
        <v>19.399999999999999</v>
      </c>
      <c r="I67" s="942">
        <v>20.8</v>
      </c>
      <c r="J67" s="941"/>
    </row>
    <row r="68" spans="1:17" s="66" customFormat="1">
      <c r="A68" s="319" t="s">
        <v>1188</v>
      </c>
      <c r="B68" s="319" t="s">
        <v>1193</v>
      </c>
      <c r="C68" s="919"/>
      <c r="D68" s="942">
        <v>10.3</v>
      </c>
      <c r="E68" s="942"/>
      <c r="F68" s="942"/>
      <c r="G68" s="942"/>
      <c r="H68" s="942">
        <v>10.9</v>
      </c>
      <c r="I68" s="942">
        <v>10.9</v>
      </c>
      <c r="J68" s="941"/>
    </row>
    <row r="69" spans="1:17" s="66" customFormat="1">
      <c r="A69" s="319" t="s">
        <v>1188</v>
      </c>
      <c r="B69" s="319" t="s">
        <v>1194</v>
      </c>
      <c r="C69" s="919"/>
      <c r="D69" s="942">
        <v>29.3</v>
      </c>
      <c r="E69" s="942"/>
      <c r="F69" s="942"/>
      <c r="G69" s="942"/>
      <c r="H69" s="942">
        <v>33.200000000000003</v>
      </c>
      <c r="I69" s="942">
        <v>34.4</v>
      </c>
      <c r="J69" s="941"/>
    </row>
    <row r="70" spans="1:17" s="66" customFormat="1">
      <c r="A70" s="319" t="s">
        <v>1188</v>
      </c>
      <c r="B70" s="319" t="s">
        <v>1195</v>
      </c>
      <c r="C70" s="919"/>
      <c r="D70" s="942">
        <v>5.0999999999999996</v>
      </c>
      <c r="E70" s="942"/>
      <c r="F70" s="942"/>
      <c r="G70" s="942"/>
      <c r="H70" s="942">
        <v>7.8</v>
      </c>
      <c r="I70" s="942">
        <v>8.5</v>
      </c>
      <c r="J70" s="941"/>
    </row>
    <row r="71" spans="1:17" s="911" customFormat="1">
      <c r="A71" s="319" t="s">
        <v>1188</v>
      </c>
      <c r="B71" s="319" t="s">
        <v>1196</v>
      </c>
      <c r="C71" s="946">
        <v>20</v>
      </c>
      <c r="D71" s="942">
        <v>19.3</v>
      </c>
      <c r="E71" s="942">
        <v>21</v>
      </c>
      <c r="F71" s="942">
        <v>22.5</v>
      </c>
      <c r="G71" s="942">
        <v>22.7</v>
      </c>
      <c r="H71" s="942">
        <v>23.4</v>
      </c>
      <c r="I71" s="942">
        <v>24.4</v>
      </c>
      <c r="J71" s="41"/>
      <c r="L71" s="319"/>
      <c r="M71" s="319"/>
      <c r="N71" s="319"/>
      <c r="O71" s="319"/>
      <c r="P71" s="319"/>
      <c r="Q71" s="319"/>
    </row>
    <row r="72" spans="1:17" s="911" customFormat="1">
      <c r="A72" s="319"/>
      <c r="B72" s="947" t="s">
        <v>1132</v>
      </c>
      <c r="C72" s="919"/>
      <c r="D72" s="941"/>
      <c r="E72" s="941"/>
      <c r="F72" s="941"/>
      <c r="G72" s="941"/>
      <c r="H72" s="941">
        <v>24</v>
      </c>
      <c r="I72" s="941">
        <v>24.4</v>
      </c>
      <c r="J72" s="948" t="s">
        <v>1197</v>
      </c>
      <c r="L72" s="319"/>
      <c r="M72" s="319"/>
      <c r="N72" s="319"/>
      <c r="O72" s="319"/>
      <c r="P72" s="319"/>
      <c r="Q72" s="319"/>
    </row>
    <row r="73" spans="1:17" s="911" customFormat="1" ht="20">
      <c r="A73" s="943" t="s">
        <v>1188</v>
      </c>
      <c r="B73" s="949" t="s">
        <v>1198</v>
      </c>
      <c r="C73" s="919"/>
      <c r="D73" s="941"/>
      <c r="E73" s="941"/>
      <c r="F73" s="941"/>
      <c r="G73" s="941"/>
      <c r="H73" s="942">
        <v>40.9</v>
      </c>
      <c r="I73" s="942">
        <v>30.7</v>
      </c>
      <c r="J73" s="948"/>
      <c r="L73" s="319"/>
      <c r="M73" s="319"/>
      <c r="N73" s="319"/>
      <c r="O73" s="319"/>
      <c r="P73" s="319"/>
      <c r="Q73" s="319"/>
    </row>
    <row r="74" spans="1:17" s="911" customFormat="1" ht="10.5">
      <c r="A74" s="319"/>
      <c r="B74" s="930" t="s">
        <v>1199</v>
      </c>
      <c r="C74" s="917"/>
      <c r="D74" s="917"/>
      <c r="E74" s="917"/>
      <c r="F74" s="917"/>
      <c r="G74" s="917"/>
      <c r="H74" s="917"/>
      <c r="I74" s="917"/>
      <c r="J74" s="917"/>
      <c r="L74" s="319"/>
      <c r="M74" s="319"/>
      <c r="N74" s="319"/>
      <c r="O74" s="319"/>
      <c r="P74" s="319"/>
      <c r="Q74" s="319"/>
    </row>
    <row r="75" spans="1:17" s="911" customFormat="1">
      <c r="A75" s="319" t="s">
        <v>1200</v>
      </c>
      <c r="B75" s="107" t="s">
        <v>1201</v>
      </c>
      <c r="C75" s="919">
        <v>88</v>
      </c>
      <c r="D75" s="919">
        <v>88</v>
      </c>
      <c r="E75" s="919">
        <v>87</v>
      </c>
      <c r="F75" s="919">
        <v>87</v>
      </c>
      <c r="G75" s="919">
        <v>86</v>
      </c>
      <c r="H75" s="919">
        <v>79</v>
      </c>
      <c r="I75" s="919">
        <v>84</v>
      </c>
      <c r="J75" s="898"/>
      <c r="L75" s="319"/>
      <c r="M75" s="319"/>
      <c r="N75" s="319"/>
      <c r="O75" s="319"/>
      <c r="P75" s="319"/>
      <c r="Q75" s="319"/>
    </row>
    <row r="76" spans="1:17" s="911" customFormat="1">
      <c r="A76" s="319" t="s">
        <v>1200</v>
      </c>
      <c r="B76" s="107" t="s">
        <v>1202</v>
      </c>
      <c r="C76" s="950" t="s">
        <v>113</v>
      </c>
      <c r="D76" s="919">
        <v>69</v>
      </c>
      <c r="E76" s="919">
        <v>71</v>
      </c>
      <c r="F76" s="919">
        <v>72</v>
      </c>
      <c r="G76" s="919">
        <v>72</v>
      </c>
      <c r="H76" s="919">
        <v>72</v>
      </c>
      <c r="I76" s="951">
        <v>72</v>
      </c>
      <c r="J76" s="435"/>
      <c r="L76" s="319"/>
      <c r="M76" s="319"/>
      <c r="N76" s="319"/>
      <c r="O76" s="319"/>
      <c r="P76" s="319"/>
      <c r="Q76" s="319"/>
    </row>
    <row r="77" spans="1:17" s="911" customFormat="1" ht="10.5">
      <c r="A77" s="319"/>
      <c r="B77" s="930" t="s">
        <v>1203</v>
      </c>
      <c r="C77" s="932"/>
      <c r="D77" s="932"/>
      <c r="E77" s="932"/>
      <c r="F77" s="932"/>
      <c r="G77" s="932"/>
      <c r="H77" s="932"/>
      <c r="I77" s="952"/>
      <c r="J77" s="952"/>
      <c r="L77" s="319"/>
      <c r="M77" s="319"/>
      <c r="N77" s="319"/>
      <c r="O77" s="319"/>
      <c r="P77" s="319"/>
      <c r="Q77" s="319"/>
    </row>
    <row r="78" spans="1:17" s="911" customFormat="1">
      <c r="A78" s="319" t="s">
        <v>1204</v>
      </c>
      <c r="B78" s="319" t="s">
        <v>1205</v>
      </c>
      <c r="C78" s="951">
        <v>0</v>
      </c>
      <c r="D78" s="951">
        <v>1</v>
      </c>
      <c r="E78" s="951">
        <v>0</v>
      </c>
      <c r="F78" s="951">
        <v>0</v>
      </c>
      <c r="G78" s="951">
        <v>0</v>
      </c>
      <c r="H78" s="951">
        <v>1</v>
      </c>
      <c r="I78" s="951">
        <v>0</v>
      </c>
      <c r="J78" s="435"/>
      <c r="L78" s="319"/>
      <c r="M78" s="319"/>
      <c r="N78" s="319"/>
      <c r="O78" s="319"/>
      <c r="P78" s="319"/>
      <c r="Q78" s="319"/>
    </row>
    <row r="79" spans="1:17" s="911" customFormat="1">
      <c r="A79" s="319"/>
      <c r="B79" s="947" t="s">
        <v>1132</v>
      </c>
      <c r="C79" s="953"/>
      <c r="D79" s="953"/>
      <c r="E79" s="953"/>
      <c r="F79" s="953"/>
      <c r="G79" s="953"/>
      <c r="H79" s="953">
        <v>0</v>
      </c>
      <c r="I79" s="953">
        <v>0</v>
      </c>
      <c r="J79" s="898">
        <v>0</v>
      </c>
      <c r="L79" s="319"/>
      <c r="M79" s="319"/>
      <c r="N79" s="319"/>
      <c r="O79" s="319"/>
      <c r="P79" s="319"/>
      <c r="Q79" s="319"/>
    </row>
    <row r="80" spans="1:17" s="911" customFormat="1">
      <c r="A80" s="319" t="s">
        <v>1204</v>
      </c>
      <c r="B80" s="319" t="s">
        <v>1206</v>
      </c>
      <c r="C80" s="951">
        <v>257</v>
      </c>
      <c r="D80" s="951">
        <v>184</v>
      </c>
      <c r="E80" s="951">
        <v>141</v>
      </c>
      <c r="F80" s="951">
        <v>155</v>
      </c>
      <c r="G80" s="951">
        <v>192</v>
      </c>
      <c r="H80" s="951">
        <v>193</v>
      </c>
      <c r="I80" s="951">
        <v>170</v>
      </c>
      <c r="J80" s="898"/>
      <c r="L80" s="319"/>
      <c r="M80" s="319"/>
      <c r="N80" s="319"/>
      <c r="O80" s="319"/>
      <c r="P80" s="319"/>
      <c r="Q80" s="319"/>
    </row>
    <row r="81" spans="1:17" s="911" customFormat="1">
      <c r="A81" s="319" t="s">
        <v>1204</v>
      </c>
      <c r="B81" s="319" t="s">
        <v>1207</v>
      </c>
      <c r="C81" s="938">
        <v>8.9</v>
      </c>
      <c r="D81" s="938">
        <v>6</v>
      </c>
      <c r="E81" s="938">
        <v>4.8</v>
      </c>
      <c r="F81" s="938">
        <v>5.0999999999999996</v>
      </c>
      <c r="G81" s="938">
        <v>5.7</v>
      </c>
      <c r="H81" s="938">
        <v>5.0999999999999996</v>
      </c>
      <c r="I81" s="938">
        <v>4.3</v>
      </c>
      <c r="J81" s="435"/>
      <c r="L81" s="319"/>
      <c r="M81" s="319"/>
      <c r="N81" s="319"/>
      <c r="O81" s="319"/>
      <c r="P81" s="319"/>
      <c r="Q81" s="319"/>
    </row>
    <row r="82" spans="1:17" s="911" customFormat="1">
      <c r="A82" s="319"/>
      <c r="B82" s="947" t="s">
        <v>1132</v>
      </c>
      <c r="C82" s="954"/>
      <c r="D82" s="954"/>
      <c r="E82" s="955"/>
      <c r="F82" s="955"/>
      <c r="G82" s="955"/>
      <c r="H82" s="956" t="s">
        <v>1208</v>
      </c>
      <c r="I82" s="956" t="s">
        <v>1209</v>
      </c>
      <c r="J82" s="957" t="s">
        <v>1210</v>
      </c>
      <c r="L82" s="319"/>
      <c r="M82" s="319"/>
      <c r="N82" s="319"/>
      <c r="O82" s="319"/>
      <c r="P82" s="319"/>
      <c r="Q82" s="319"/>
    </row>
    <row r="83" spans="1:17" s="911" customFormat="1">
      <c r="A83" s="319" t="s">
        <v>1204</v>
      </c>
      <c r="B83" s="319" t="s">
        <v>1211</v>
      </c>
      <c r="C83" s="958"/>
      <c r="D83" s="958"/>
      <c r="E83" s="958"/>
      <c r="F83" s="958">
        <v>6</v>
      </c>
      <c r="G83" s="958">
        <v>4</v>
      </c>
      <c r="H83" s="958">
        <v>5</v>
      </c>
      <c r="I83" s="958">
        <v>2</v>
      </c>
      <c r="J83" s="898"/>
      <c r="L83" s="319"/>
      <c r="M83" s="319"/>
      <c r="N83" s="319"/>
      <c r="O83" s="319"/>
      <c r="P83" s="319"/>
      <c r="Q83" s="319"/>
    </row>
    <row r="84" spans="1:17" s="911" customFormat="1">
      <c r="A84" s="319" t="s">
        <v>1204</v>
      </c>
      <c r="B84" s="319" t="s">
        <v>1212</v>
      </c>
      <c r="C84" s="958"/>
      <c r="D84" s="958"/>
      <c r="E84" s="958"/>
      <c r="F84" s="951">
        <v>1731</v>
      </c>
      <c r="G84" s="951">
        <v>1857</v>
      </c>
      <c r="H84" s="951">
        <v>1743</v>
      </c>
      <c r="I84" s="951">
        <v>1978</v>
      </c>
      <c r="J84" s="898"/>
      <c r="L84" s="319"/>
      <c r="M84" s="319"/>
      <c r="N84" s="319"/>
      <c r="O84" s="319"/>
      <c r="P84" s="319"/>
      <c r="Q84" s="319"/>
    </row>
    <row r="85" spans="1:17" s="911" customFormat="1">
      <c r="A85" s="319" t="s">
        <v>1204</v>
      </c>
      <c r="B85" s="319" t="s">
        <v>1213</v>
      </c>
      <c r="C85" s="959">
        <v>2.2000000000000002</v>
      </c>
      <c r="D85" s="959">
        <v>2.1</v>
      </c>
      <c r="E85" s="959">
        <v>2.1</v>
      </c>
      <c r="F85" s="959">
        <v>2.4</v>
      </c>
      <c r="G85" s="959">
        <v>2.4</v>
      </c>
      <c r="H85" s="959">
        <v>2.1</v>
      </c>
      <c r="I85" s="959">
        <v>2.2000000000000002</v>
      </c>
      <c r="J85" s="435"/>
      <c r="L85" s="319"/>
      <c r="M85" s="319"/>
      <c r="N85" s="319"/>
      <c r="O85" s="319"/>
      <c r="P85" s="319"/>
      <c r="Q85" s="319"/>
    </row>
    <row r="86" spans="1:17" s="107" customFormat="1">
      <c r="B86" s="947" t="s">
        <v>1132</v>
      </c>
      <c r="C86" s="953"/>
      <c r="D86" s="960"/>
      <c r="E86" s="960"/>
      <c r="F86" s="961"/>
      <c r="G86" s="961"/>
      <c r="H86" s="960" t="s">
        <v>1214</v>
      </c>
      <c r="I86" s="960" t="s">
        <v>1214</v>
      </c>
      <c r="J86" s="929" t="s">
        <v>1214</v>
      </c>
    </row>
    <row r="87" spans="1:17" s="911" customFormat="1">
      <c r="A87" s="319"/>
      <c r="C87" s="962"/>
      <c r="D87" s="963"/>
      <c r="E87" s="963"/>
      <c r="F87" s="963"/>
      <c r="G87" s="963"/>
      <c r="H87" s="963"/>
      <c r="I87" s="963"/>
      <c r="J87" s="964"/>
      <c r="L87" s="319"/>
      <c r="M87" s="319"/>
      <c r="N87" s="319"/>
      <c r="O87" s="319"/>
      <c r="P87" s="319"/>
      <c r="Q87" s="319"/>
    </row>
    <row r="88" spans="1:17" s="911" customFormat="1" ht="10.5">
      <c r="A88" s="319"/>
      <c r="B88" s="939" t="s">
        <v>1215</v>
      </c>
      <c r="C88" s="940">
        <v>2018</v>
      </c>
      <c r="D88" s="940">
        <v>2019</v>
      </c>
      <c r="E88" s="940">
        <v>2020</v>
      </c>
      <c r="F88" s="940">
        <v>2021</v>
      </c>
      <c r="G88" s="940">
        <v>2022</v>
      </c>
      <c r="H88" s="940">
        <v>2023</v>
      </c>
      <c r="I88" s="940">
        <v>2024</v>
      </c>
      <c r="J88" s="940" t="s">
        <v>1120</v>
      </c>
      <c r="L88" s="319"/>
      <c r="M88" s="319"/>
      <c r="N88" s="319"/>
      <c r="O88" s="319"/>
      <c r="P88" s="319"/>
      <c r="Q88" s="319"/>
    </row>
    <row r="89" spans="1:17" s="911" customFormat="1" ht="10.5">
      <c r="A89" s="319"/>
      <c r="B89" s="930" t="s">
        <v>1216</v>
      </c>
      <c r="C89" s="931"/>
      <c r="D89" s="931"/>
      <c r="E89" s="931"/>
      <c r="F89" s="931"/>
      <c r="G89" s="931"/>
      <c r="H89" s="931"/>
      <c r="I89" s="931"/>
      <c r="J89" s="931"/>
      <c r="L89" s="319"/>
      <c r="M89" s="319"/>
      <c r="N89" s="319"/>
      <c r="O89" s="319"/>
      <c r="P89" s="319"/>
      <c r="Q89" s="319"/>
    </row>
    <row r="90" spans="1:17" s="911" customFormat="1">
      <c r="A90" s="319" t="s">
        <v>1217</v>
      </c>
      <c r="B90" s="319" t="s">
        <v>1218</v>
      </c>
      <c r="C90" s="910"/>
      <c r="D90" s="962"/>
      <c r="E90" s="965"/>
      <c r="F90" s="965"/>
      <c r="G90" s="928"/>
      <c r="H90" s="919">
        <v>87</v>
      </c>
      <c r="I90" s="919">
        <v>100</v>
      </c>
      <c r="J90" s="924"/>
      <c r="L90" s="319"/>
      <c r="M90" s="319"/>
      <c r="N90" s="319"/>
      <c r="O90" s="319"/>
      <c r="P90" s="319"/>
      <c r="Q90" s="319"/>
    </row>
    <row r="91" spans="1:17" s="911" customFormat="1">
      <c r="A91" s="319"/>
      <c r="B91" s="947" t="s">
        <v>1132</v>
      </c>
      <c r="C91" s="966"/>
      <c r="D91" s="966"/>
      <c r="E91" s="966"/>
      <c r="F91" s="966"/>
      <c r="G91" s="928"/>
      <c r="H91" s="928"/>
      <c r="I91" s="928">
        <v>95</v>
      </c>
      <c r="J91" s="924">
        <v>100</v>
      </c>
      <c r="L91" s="319"/>
      <c r="M91" s="319"/>
      <c r="N91" s="319"/>
      <c r="O91" s="319"/>
      <c r="P91" s="319"/>
      <c r="Q91" s="319"/>
    </row>
    <row r="92" spans="1:17" s="911" customFormat="1">
      <c r="A92" s="319" t="s">
        <v>1219</v>
      </c>
      <c r="B92" s="319" t="s">
        <v>1220</v>
      </c>
      <c r="C92" s="910"/>
      <c r="D92" s="910"/>
      <c r="E92" s="910"/>
      <c r="F92" s="910"/>
      <c r="G92" s="919">
        <v>99</v>
      </c>
      <c r="H92" s="919">
        <v>100</v>
      </c>
      <c r="I92" s="919">
        <v>99</v>
      </c>
      <c r="J92" s="924"/>
      <c r="L92" s="319"/>
      <c r="M92" s="319"/>
      <c r="N92" s="319"/>
      <c r="O92" s="319"/>
      <c r="P92" s="319"/>
      <c r="Q92" s="319"/>
    </row>
    <row r="93" spans="1:17" s="911" customFormat="1">
      <c r="A93" s="319"/>
      <c r="B93" s="947" t="s">
        <v>1132</v>
      </c>
      <c r="C93" s="966"/>
      <c r="D93" s="966"/>
      <c r="E93" s="953"/>
      <c r="F93" s="953"/>
      <c r="G93" s="928"/>
      <c r="H93" s="928">
        <v>100</v>
      </c>
      <c r="I93" s="928">
        <v>100</v>
      </c>
      <c r="J93" s="924">
        <v>100</v>
      </c>
      <c r="L93" s="319"/>
      <c r="M93" s="319"/>
      <c r="N93" s="319"/>
      <c r="O93" s="319"/>
      <c r="P93" s="319"/>
      <c r="Q93" s="319"/>
    </row>
    <row r="94" spans="1:17" s="911" customFormat="1">
      <c r="A94" s="319" t="s">
        <v>1219</v>
      </c>
      <c r="B94" s="319" t="s">
        <v>1221</v>
      </c>
      <c r="C94" s="910">
        <v>98</v>
      </c>
      <c r="D94" s="967">
        <v>99</v>
      </c>
      <c r="E94" s="967">
        <v>99</v>
      </c>
      <c r="F94" s="967">
        <v>100</v>
      </c>
      <c r="G94" s="968">
        <v>99</v>
      </c>
      <c r="H94" s="968">
        <v>99</v>
      </c>
      <c r="I94" s="968">
        <v>100</v>
      </c>
      <c r="J94" s="924"/>
      <c r="L94" s="319"/>
      <c r="M94" s="319"/>
      <c r="N94" s="319"/>
      <c r="O94" s="319"/>
      <c r="P94" s="319"/>
      <c r="Q94" s="319"/>
    </row>
    <row r="95" spans="1:17" s="911" customFormat="1">
      <c r="A95" s="319"/>
      <c r="B95" s="947" t="s">
        <v>1132</v>
      </c>
      <c r="C95" s="966"/>
      <c r="D95" s="966"/>
      <c r="E95" s="953"/>
      <c r="F95" s="953"/>
      <c r="G95" s="928"/>
      <c r="H95" s="928">
        <v>100</v>
      </c>
      <c r="I95" s="928">
        <v>100</v>
      </c>
      <c r="J95" s="924">
        <v>100</v>
      </c>
      <c r="L95" s="319"/>
      <c r="M95" s="319"/>
      <c r="N95" s="319"/>
      <c r="O95" s="319"/>
      <c r="P95" s="319"/>
      <c r="Q95" s="319"/>
    </row>
    <row r="96" spans="1:17" s="911" customFormat="1">
      <c r="A96" s="319" t="s">
        <v>1222</v>
      </c>
      <c r="B96" s="319" t="s">
        <v>1223</v>
      </c>
      <c r="C96" s="910">
        <v>11</v>
      </c>
      <c r="D96" s="910">
        <v>11</v>
      </c>
      <c r="E96" s="910">
        <v>3</v>
      </c>
      <c r="F96" s="910">
        <v>4</v>
      </c>
      <c r="G96" s="919">
        <v>5</v>
      </c>
      <c r="H96" s="919">
        <v>6</v>
      </c>
      <c r="I96" s="919">
        <v>11</v>
      </c>
      <c r="J96" s="924"/>
      <c r="L96" s="319"/>
      <c r="M96" s="319"/>
      <c r="N96" s="319"/>
      <c r="O96" s="319"/>
      <c r="P96" s="319"/>
      <c r="Q96" s="319"/>
    </row>
    <row r="97" spans="1:17" s="911" customFormat="1">
      <c r="A97" s="319" t="s">
        <v>1224</v>
      </c>
      <c r="B97" s="319" t="s">
        <v>1225</v>
      </c>
      <c r="C97" s="910">
        <v>91</v>
      </c>
      <c r="D97" s="910">
        <v>95</v>
      </c>
      <c r="E97" s="910">
        <v>99</v>
      </c>
      <c r="F97" s="910">
        <v>100</v>
      </c>
      <c r="G97" s="919">
        <v>98</v>
      </c>
      <c r="H97" s="919">
        <v>100</v>
      </c>
      <c r="I97" s="919">
        <v>100</v>
      </c>
      <c r="J97" s="924"/>
      <c r="L97" s="319"/>
      <c r="M97" s="319"/>
      <c r="N97" s="319"/>
      <c r="O97" s="319"/>
      <c r="P97" s="319"/>
      <c r="Q97" s="319"/>
    </row>
    <row r="98" spans="1:17" s="911" customFormat="1">
      <c r="A98" s="319"/>
      <c r="B98" s="947" t="s">
        <v>1132</v>
      </c>
      <c r="C98" s="966"/>
      <c r="D98" s="966"/>
      <c r="E98" s="953"/>
      <c r="F98" s="953"/>
      <c r="G98" s="928"/>
      <c r="H98" s="928">
        <v>100</v>
      </c>
      <c r="I98" s="928">
        <v>100</v>
      </c>
      <c r="J98" s="924">
        <v>100</v>
      </c>
      <c r="L98" s="319"/>
      <c r="M98" s="319"/>
      <c r="N98" s="319"/>
      <c r="O98" s="319"/>
      <c r="P98" s="319"/>
      <c r="Q98" s="319"/>
    </row>
    <row r="99" spans="1:17" s="911" customFormat="1">
      <c r="A99" s="319" t="s">
        <v>1224</v>
      </c>
      <c r="B99" s="319" t="s">
        <v>1226</v>
      </c>
      <c r="C99" s="910"/>
      <c r="D99" s="910"/>
      <c r="E99" s="969"/>
      <c r="F99" s="969"/>
      <c r="G99" s="919">
        <v>94</v>
      </c>
      <c r="H99" s="919">
        <v>98</v>
      </c>
      <c r="I99" s="919">
        <v>99</v>
      </c>
      <c r="J99" s="924"/>
      <c r="L99" s="319"/>
      <c r="M99" s="319"/>
      <c r="N99" s="319"/>
      <c r="O99" s="319"/>
      <c r="P99" s="319"/>
      <c r="Q99" s="319"/>
    </row>
    <row r="100" spans="1:17" s="464" customFormat="1">
      <c r="A100" s="319"/>
      <c r="B100" s="947" t="s">
        <v>1132</v>
      </c>
      <c r="C100" s="966"/>
      <c r="D100" s="966"/>
      <c r="E100" s="953"/>
      <c r="F100" s="953"/>
      <c r="G100" s="928"/>
      <c r="H100" s="928">
        <v>96</v>
      </c>
      <c r="I100" s="928">
        <v>97</v>
      </c>
      <c r="J100" s="929" t="s">
        <v>1227</v>
      </c>
    </row>
    <row r="101" spans="1:17" s="464" customFormat="1">
      <c r="A101" s="319" t="s">
        <v>1224</v>
      </c>
      <c r="B101" s="949" t="s">
        <v>1228</v>
      </c>
      <c r="C101" s="970">
        <v>26</v>
      </c>
      <c r="D101" s="970">
        <v>44</v>
      </c>
      <c r="E101" s="970">
        <v>64</v>
      </c>
      <c r="F101" s="970">
        <v>100</v>
      </c>
      <c r="G101" s="971">
        <v>121</v>
      </c>
      <c r="H101" s="971">
        <v>194</v>
      </c>
      <c r="I101" s="971">
        <v>195</v>
      </c>
      <c r="J101" s="972"/>
    </row>
    <row r="102" spans="1:17" s="464" customFormat="1">
      <c r="B102" s="453"/>
      <c r="C102" s="953"/>
      <c r="D102" s="953"/>
      <c r="E102" s="953"/>
      <c r="F102" s="953"/>
      <c r="G102" s="953"/>
      <c r="H102" s="965"/>
      <c r="I102" s="953"/>
      <c r="J102" s="898"/>
    </row>
    <row r="103" spans="1:17" s="911" customFormat="1" ht="10.5">
      <c r="A103" s="319" t="s">
        <v>1229</v>
      </c>
      <c r="B103" s="939" t="s">
        <v>1230</v>
      </c>
      <c r="C103" s="940">
        <v>2018</v>
      </c>
      <c r="D103" s="940">
        <v>2019</v>
      </c>
      <c r="E103" s="940">
        <v>2020</v>
      </c>
      <c r="F103" s="940">
        <v>2021</v>
      </c>
      <c r="G103" s="940">
        <v>2022</v>
      </c>
      <c r="H103" s="940">
        <v>2023</v>
      </c>
      <c r="I103" s="940">
        <v>2024</v>
      </c>
      <c r="J103" s="973"/>
      <c r="L103" s="319"/>
      <c r="M103" s="319"/>
      <c r="N103" s="319"/>
      <c r="O103" s="319"/>
      <c r="P103" s="319"/>
      <c r="Q103" s="319"/>
    </row>
    <row r="104" spans="1:17" s="911" customFormat="1">
      <c r="A104" s="319"/>
      <c r="B104" s="949" t="s">
        <v>1231</v>
      </c>
      <c r="C104" s="974" t="s">
        <v>1232</v>
      </c>
      <c r="D104" s="974" t="s">
        <v>1232</v>
      </c>
      <c r="E104" s="974" t="s">
        <v>1232</v>
      </c>
      <c r="F104" s="974" t="s">
        <v>1232</v>
      </c>
      <c r="G104" s="974" t="s">
        <v>1232</v>
      </c>
      <c r="H104" s="974" t="s">
        <v>1232</v>
      </c>
      <c r="I104" s="974" t="s">
        <v>1232</v>
      </c>
      <c r="J104" s="937"/>
      <c r="L104" s="319"/>
      <c r="M104" s="319"/>
      <c r="N104" s="319"/>
      <c r="O104" s="319"/>
      <c r="P104" s="319"/>
      <c r="Q104" s="319"/>
    </row>
    <row r="105" spans="1:17" s="911" customFormat="1">
      <c r="A105" s="319"/>
      <c r="B105" s="949" t="s">
        <v>1233</v>
      </c>
      <c r="C105" s="970">
        <v>8</v>
      </c>
      <c r="D105" s="970">
        <v>8</v>
      </c>
      <c r="E105" s="970">
        <v>9</v>
      </c>
      <c r="F105" s="970">
        <v>9</v>
      </c>
      <c r="G105" s="970">
        <v>10</v>
      </c>
      <c r="H105" s="970">
        <v>9</v>
      </c>
      <c r="I105" s="970">
        <v>9</v>
      </c>
      <c r="J105" s="937"/>
      <c r="L105" s="319"/>
      <c r="M105" s="319"/>
      <c r="N105" s="319"/>
      <c r="O105" s="319"/>
      <c r="P105" s="319"/>
      <c r="Q105" s="319"/>
    </row>
    <row r="106" spans="1:17" s="911" customFormat="1">
      <c r="A106" s="319"/>
      <c r="B106" s="949" t="s">
        <v>1234</v>
      </c>
      <c r="C106" s="970">
        <v>5</v>
      </c>
      <c r="D106" s="970">
        <v>5</v>
      </c>
      <c r="E106" s="970">
        <v>6</v>
      </c>
      <c r="F106" s="970">
        <v>6</v>
      </c>
      <c r="G106" s="970">
        <v>7</v>
      </c>
      <c r="H106" s="970">
        <v>7</v>
      </c>
      <c r="I106" s="970">
        <v>7</v>
      </c>
      <c r="J106" s="937"/>
      <c r="L106" s="319"/>
      <c r="M106" s="319"/>
      <c r="N106" s="319"/>
      <c r="O106" s="319"/>
      <c r="P106" s="319"/>
      <c r="Q106" s="319"/>
    </row>
    <row r="107" spans="1:17" s="911" customFormat="1">
      <c r="A107" s="319"/>
      <c r="B107" s="949" t="s">
        <v>1235</v>
      </c>
      <c r="C107" s="975">
        <f t="shared" ref="C107:D107" si="0">SUM(C106/C105)</f>
        <v>0.625</v>
      </c>
      <c r="D107" s="975">
        <f t="shared" si="0"/>
        <v>0.625</v>
      </c>
      <c r="E107" s="975">
        <f>SUM(E106/E105)</f>
        <v>0.66666666666666663</v>
      </c>
      <c r="F107" s="975">
        <f>SUM(F106/F105)</f>
        <v>0.66666666666666663</v>
      </c>
      <c r="G107" s="975">
        <f>SUM(G106/G105)</f>
        <v>0.7</v>
      </c>
      <c r="H107" s="975">
        <f>SUM(H106/H105)</f>
        <v>0.77777777777777779</v>
      </c>
      <c r="I107" s="975">
        <f>SUM(I106/I105)</f>
        <v>0.77777777777777779</v>
      </c>
      <c r="J107" s="937"/>
      <c r="L107" s="319"/>
      <c r="M107" s="319"/>
      <c r="N107" s="319"/>
      <c r="O107" s="319"/>
      <c r="P107" s="319"/>
      <c r="Q107" s="319"/>
    </row>
    <row r="108" spans="1:17" s="911" customFormat="1">
      <c r="A108" s="319"/>
      <c r="B108" s="949" t="s">
        <v>1236</v>
      </c>
      <c r="C108" s="970">
        <v>3</v>
      </c>
      <c r="D108" s="970">
        <v>3</v>
      </c>
      <c r="E108" s="970">
        <v>4</v>
      </c>
      <c r="F108" s="970">
        <v>4</v>
      </c>
      <c r="G108" s="970">
        <v>5</v>
      </c>
      <c r="H108" s="970">
        <v>5</v>
      </c>
      <c r="I108" s="970">
        <v>5</v>
      </c>
      <c r="J108" s="937"/>
      <c r="L108" s="319"/>
      <c r="M108" s="319"/>
      <c r="N108" s="319"/>
      <c r="O108" s="319"/>
      <c r="P108" s="319"/>
      <c r="Q108" s="319"/>
    </row>
    <row r="109" spans="1:17" s="911" customFormat="1">
      <c r="A109" s="319"/>
      <c r="B109" s="949" t="s">
        <v>1237</v>
      </c>
      <c r="C109" s="976">
        <f>C108/C105</f>
        <v>0.375</v>
      </c>
      <c r="D109" s="976">
        <f t="shared" ref="D109" si="1">D108/D105</f>
        <v>0.375</v>
      </c>
      <c r="E109" s="976">
        <f>E108/E105</f>
        <v>0.44444444444444442</v>
      </c>
      <c r="F109" s="976">
        <f>F108/F105</f>
        <v>0.44444444444444442</v>
      </c>
      <c r="G109" s="976">
        <f>G108/G105</f>
        <v>0.5</v>
      </c>
      <c r="H109" s="976">
        <f>H108/H105</f>
        <v>0.55555555555555558</v>
      </c>
      <c r="I109" s="976">
        <f>I108/I105</f>
        <v>0.55555555555555558</v>
      </c>
      <c r="J109" s="937"/>
      <c r="L109" s="319"/>
      <c r="M109" s="319"/>
      <c r="N109" s="319"/>
      <c r="O109" s="319"/>
      <c r="P109" s="319"/>
      <c r="Q109" s="319"/>
    </row>
    <row r="110" spans="1:17" s="911" customFormat="1">
      <c r="A110" s="319"/>
      <c r="B110" s="949" t="s">
        <v>1238</v>
      </c>
      <c r="C110" s="970">
        <v>3</v>
      </c>
      <c r="D110" s="970">
        <v>3</v>
      </c>
      <c r="E110" s="970">
        <v>4</v>
      </c>
      <c r="F110" s="970">
        <v>4</v>
      </c>
      <c r="G110" s="970">
        <v>5</v>
      </c>
      <c r="H110" s="970">
        <v>5</v>
      </c>
      <c r="I110" s="970">
        <v>5</v>
      </c>
      <c r="J110" s="937"/>
      <c r="L110" s="319"/>
      <c r="M110" s="319"/>
      <c r="N110" s="319"/>
      <c r="O110" s="319"/>
      <c r="P110" s="319"/>
      <c r="Q110" s="319"/>
    </row>
    <row r="111" spans="1:17" s="911" customFormat="1">
      <c r="A111" s="319"/>
      <c r="B111" s="949" t="s">
        <v>1239</v>
      </c>
      <c r="C111" s="976">
        <f>C110/C105</f>
        <v>0.375</v>
      </c>
      <c r="D111" s="976">
        <f t="shared" ref="D111" si="2">D110/D105</f>
        <v>0.375</v>
      </c>
      <c r="E111" s="976">
        <f>E110/E105</f>
        <v>0.44444444444444442</v>
      </c>
      <c r="F111" s="976">
        <f>F110/F105</f>
        <v>0.44444444444444442</v>
      </c>
      <c r="G111" s="976">
        <f>G110/G105</f>
        <v>0.5</v>
      </c>
      <c r="H111" s="976">
        <f>H110/H105</f>
        <v>0.55555555555555558</v>
      </c>
      <c r="I111" s="976">
        <f>I110/I105</f>
        <v>0.55555555555555558</v>
      </c>
      <c r="J111" s="937"/>
      <c r="L111" s="319"/>
      <c r="M111" s="319"/>
      <c r="N111" s="319"/>
      <c r="O111" s="319"/>
      <c r="P111" s="319"/>
      <c r="Q111" s="319"/>
    </row>
    <row r="112" spans="1:17" s="911" customFormat="1">
      <c r="A112" s="319"/>
      <c r="B112" s="949" t="s">
        <v>1240</v>
      </c>
      <c r="C112" s="970">
        <v>6</v>
      </c>
      <c r="D112" s="970">
        <v>9</v>
      </c>
      <c r="E112" s="970">
        <v>8</v>
      </c>
      <c r="F112" s="970">
        <v>10</v>
      </c>
      <c r="G112" s="970">
        <v>10</v>
      </c>
      <c r="H112" s="970">
        <v>8</v>
      </c>
      <c r="I112" s="970">
        <v>8</v>
      </c>
      <c r="J112" s="937"/>
      <c r="L112" s="319"/>
      <c r="M112" s="319"/>
      <c r="N112" s="319"/>
      <c r="O112" s="319"/>
      <c r="P112" s="319"/>
      <c r="Q112" s="319"/>
    </row>
    <row r="113" spans="1:17">
      <c r="A113" s="319"/>
      <c r="B113" s="949" t="s">
        <v>1241</v>
      </c>
      <c r="C113" s="975">
        <f>SUM(5.625/C112)</f>
        <v>0.9375</v>
      </c>
      <c r="D113" s="975">
        <f>SUM(9/D112)</f>
        <v>1</v>
      </c>
      <c r="E113" s="975">
        <f>SUM(7.67/E112)</f>
        <v>0.95874999999999999</v>
      </c>
      <c r="F113" s="975">
        <f>SUM(9.89/F112)</f>
        <v>0.9890000000000001</v>
      </c>
      <c r="G113" s="975">
        <f>SUM(9.9/G112)</f>
        <v>0.99</v>
      </c>
      <c r="H113" s="975">
        <f>SUM(8/H112)</f>
        <v>1</v>
      </c>
      <c r="I113" s="975">
        <f>SUM(7.75/I112)</f>
        <v>0.96875</v>
      </c>
      <c r="J113" s="937"/>
    </row>
    <row r="114" spans="1:17">
      <c r="A114" s="319"/>
      <c r="B114" s="949" t="s">
        <v>1242</v>
      </c>
      <c r="C114" s="970">
        <v>60</v>
      </c>
      <c r="D114" s="970">
        <v>61</v>
      </c>
      <c r="E114" s="970">
        <v>61.375</v>
      </c>
      <c r="F114" s="970">
        <v>62.375</v>
      </c>
      <c r="G114" s="970">
        <v>61.44</v>
      </c>
      <c r="H114" s="970">
        <v>60.625</v>
      </c>
      <c r="I114" s="970">
        <v>61.625</v>
      </c>
      <c r="J114" s="937"/>
    </row>
    <row r="115" spans="1:17">
      <c r="A115" s="319"/>
      <c r="B115" s="949" t="s">
        <v>1243</v>
      </c>
      <c r="C115" s="970">
        <v>62</v>
      </c>
      <c r="D115" s="970">
        <v>63</v>
      </c>
      <c r="E115" s="970">
        <v>64</v>
      </c>
      <c r="F115" s="970">
        <v>65</v>
      </c>
      <c r="G115" s="970">
        <v>66</v>
      </c>
      <c r="H115" s="970">
        <v>67</v>
      </c>
      <c r="I115" s="970">
        <v>68</v>
      </c>
      <c r="J115" s="937"/>
    </row>
    <row r="116" spans="1:17">
      <c r="A116" s="319"/>
      <c r="B116" s="949" t="s">
        <v>1244</v>
      </c>
      <c r="C116" s="970">
        <v>0.71</v>
      </c>
      <c r="D116" s="970">
        <v>1.71</v>
      </c>
      <c r="E116" s="970">
        <v>2.375</v>
      </c>
      <c r="F116" s="970">
        <v>3.375</v>
      </c>
      <c r="G116" s="970">
        <v>3.89</v>
      </c>
      <c r="H116" s="970">
        <v>4.75</v>
      </c>
      <c r="I116" s="970">
        <v>5.75</v>
      </c>
      <c r="J116" s="937"/>
    </row>
    <row r="117" spans="1:17">
      <c r="A117" s="319"/>
      <c r="B117" s="949" t="s">
        <v>1245</v>
      </c>
      <c r="C117" s="977">
        <v>3791</v>
      </c>
      <c r="D117" s="977">
        <v>4871</v>
      </c>
      <c r="E117" s="977">
        <v>5133</v>
      </c>
      <c r="F117" s="977">
        <v>5387</v>
      </c>
      <c r="G117" s="977">
        <v>6328</v>
      </c>
      <c r="H117" s="977">
        <v>6684</v>
      </c>
      <c r="I117" s="977">
        <v>6583</v>
      </c>
      <c r="J117" s="978"/>
      <c r="L117" s="978"/>
      <c r="M117" s="978"/>
      <c r="N117" s="978"/>
      <c r="O117" s="978"/>
      <c r="P117" s="978"/>
      <c r="Q117" s="978"/>
    </row>
    <row r="118" spans="1:17">
      <c r="A118" s="319"/>
      <c r="B118" s="949" t="s">
        <v>1246</v>
      </c>
      <c r="C118" s="977">
        <v>1648</v>
      </c>
      <c r="D118" s="977">
        <v>2015</v>
      </c>
      <c r="E118" s="977">
        <v>2050</v>
      </c>
      <c r="F118" s="977">
        <v>2104</v>
      </c>
      <c r="G118" s="977">
        <v>2365</v>
      </c>
      <c r="H118" s="977">
        <v>2542</v>
      </c>
      <c r="I118" s="977">
        <v>2668</v>
      </c>
      <c r="J118" s="978"/>
      <c r="L118" s="978"/>
      <c r="M118" s="978"/>
      <c r="N118" s="978"/>
      <c r="O118" s="978"/>
      <c r="P118" s="978"/>
      <c r="Q118" s="978"/>
    </row>
    <row r="119" spans="1:17">
      <c r="A119" s="319"/>
      <c r="B119" s="949" t="s">
        <v>1247</v>
      </c>
      <c r="C119" s="977">
        <v>541.57142857142856</v>
      </c>
      <c r="D119" s="977">
        <v>695.85714285714289</v>
      </c>
      <c r="E119" s="977">
        <v>641.625</v>
      </c>
      <c r="F119" s="977">
        <v>673.375</v>
      </c>
      <c r="G119" s="977">
        <v>703.11111111111109</v>
      </c>
      <c r="H119" s="977">
        <v>835.5</v>
      </c>
      <c r="I119" s="977">
        <v>822.875</v>
      </c>
      <c r="J119" s="978"/>
      <c r="L119" s="978"/>
      <c r="M119" s="978"/>
      <c r="N119" s="978"/>
      <c r="O119" s="978"/>
      <c r="P119" s="978"/>
      <c r="Q119" s="978"/>
    </row>
    <row r="120" spans="1:17">
      <c r="A120" s="319"/>
      <c r="B120" s="949" t="s">
        <v>1248</v>
      </c>
      <c r="C120" s="977">
        <v>5204</v>
      </c>
      <c r="D120" s="977">
        <v>7271</v>
      </c>
      <c r="E120" s="977">
        <v>8658</v>
      </c>
      <c r="F120" s="977">
        <v>11131</v>
      </c>
      <c r="G120" s="977">
        <v>8035</v>
      </c>
      <c r="H120" s="977">
        <v>10890</v>
      </c>
      <c r="I120" s="977">
        <v>9844</v>
      </c>
      <c r="J120" s="978"/>
      <c r="L120" s="978"/>
      <c r="M120" s="978"/>
      <c r="N120" s="978"/>
      <c r="O120" s="978"/>
      <c r="P120" s="978"/>
      <c r="Q120" s="978"/>
    </row>
    <row r="121" spans="1:17" ht="10.5">
      <c r="A121" s="319"/>
      <c r="B121" s="979"/>
      <c r="C121" s="980"/>
      <c r="D121" s="980"/>
      <c r="E121" s="980"/>
      <c r="F121" s="980"/>
      <c r="G121" s="980"/>
      <c r="H121" s="980"/>
      <c r="I121" s="980"/>
      <c r="J121" s="937"/>
    </row>
    <row r="122" spans="1:17" ht="10.5">
      <c r="A122" s="319"/>
      <c r="B122" s="939" t="s">
        <v>1249</v>
      </c>
      <c r="C122" s="940">
        <v>2018</v>
      </c>
      <c r="D122" s="940">
        <v>2019</v>
      </c>
      <c r="E122" s="940">
        <v>2020</v>
      </c>
      <c r="F122" s="940">
        <v>2021</v>
      </c>
      <c r="G122" s="940">
        <v>2022</v>
      </c>
      <c r="H122" s="940">
        <v>2023</v>
      </c>
      <c r="I122" s="940">
        <v>2024</v>
      </c>
      <c r="J122" s="973"/>
    </row>
    <row r="123" spans="1:17" ht="10.5">
      <c r="A123" s="319"/>
      <c r="B123" s="319" t="s">
        <v>1250</v>
      </c>
      <c r="C123" s="319"/>
      <c r="D123" s="319"/>
      <c r="E123" s="980"/>
      <c r="F123" s="980"/>
      <c r="G123" s="980"/>
      <c r="H123" s="981" t="s">
        <v>1251</v>
      </c>
      <c r="I123" s="981" t="s">
        <v>1251</v>
      </c>
      <c r="J123" s="937"/>
    </row>
    <row r="124" spans="1:17" ht="10.5">
      <c r="A124" s="319"/>
      <c r="B124" s="319" t="s">
        <v>1252</v>
      </c>
      <c r="C124" s="319"/>
      <c r="D124" s="319"/>
      <c r="E124" s="980"/>
      <c r="F124" s="980"/>
      <c r="G124" s="980"/>
      <c r="H124" s="981" t="s">
        <v>1253</v>
      </c>
      <c r="I124" s="981" t="s">
        <v>1253</v>
      </c>
      <c r="J124" s="937"/>
    </row>
    <row r="125" spans="1:17" ht="10.5">
      <c r="A125" s="319"/>
      <c r="B125" s="949" t="s">
        <v>1254</v>
      </c>
      <c r="C125" s="319"/>
      <c r="D125" s="319"/>
      <c r="E125" s="980"/>
      <c r="F125" s="980"/>
      <c r="G125" s="980"/>
      <c r="H125" s="982" t="s">
        <v>1255</v>
      </c>
      <c r="I125" s="982" t="s">
        <v>1256</v>
      </c>
      <c r="J125" s="937"/>
    </row>
    <row r="126" spans="1:17" ht="10.5">
      <c r="A126" s="319"/>
      <c r="B126" s="319" t="s">
        <v>1257</v>
      </c>
      <c r="C126" s="319"/>
      <c r="D126" s="319"/>
      <c r="E126" s="980"/>
      <c r="F126" s="980"/>
      <c r="G126" s="980"/>
      <c r="H126" s="981" t="s">
        <v>1258</v>
      </c>
      <c r="I126" s="981" t="s">
        <v>338</v>
      </c>
      <c r="J126" s="937"/>
    </row>
    <row r="127" spans="1:17" ht="10.5">
      <c r="A127" s="319"/>
      <c r="B127" s="319" t="s">
        <v>1259</v>
      </c>
      <c r="C127" s="319"/>
      <c r="D127" s="319"/>
      <c r="E127" s="980"/>
      <c r="F127" s="980"/>
      <c r="G127" s="980"/>
      <c r="H127" s="981" t="s">
        <v>1260</v>
      </c>
      <c r="I127" s="983" t="s">
        <v>1261</v>
      </c>
      <c r="J127" s="937"/>
    </row>
    <row r="128" spans="1:17">
      <c r="A128" s="319"/>
      <c r="B128" s="910"/>
      <c r="G128" s="319"/>
      <c r="J128" s="911"/>
    </row>
    <row r="129" spans="1:12">
      <c r="A129" s="319"/>
      <c r="B129" s="319" t="s">
        <v>1262</v>
      </c>
    </row>
    <row r="130" spans="1:12" ht="13.4" customHeight="1">
      <c r="A130" s="319"/>
      <c r="B130" s="984"/>
      <c r="C130" s="985"/>
      <c r="D130" s="985"/>
      <c r="E130" s="985"/>
      <c r="F130" s="985"/>
    </row>
    <row r="131" spans="1:12">
      <c r="A131" s="319"/>
      <c r="B131" s="1095"/>
      <c r="C131" s="1095"/>
      <c r="D131" s="1095"/>
      <c r="E131" s="1095"/>
      <c r="F131" s="1095"/>
    </row>
    <row r="132" spans="1:12" s="910" customFormat="1" ht="26.25" customHeight="1">
      <c r="B132" s="1095"/>
      <c r="C132" s="1095"/>
      <c r="D132" s="1095"/>
      <c r="E132" s="1095"/>
      <c r="F132" s="1095"/>
      <c r="K132" s="911"/>
      <c r="L132" s="319"/>
    </row>
    <row r="133" spans="1:12" s="910" customFormat="1" ht="44.15" customHeight="1">
      <c r="B133" s="1095"/>
      <c r="C133" s="1095"/>
      <c r="D133" s="1095"/>
      <c r="E133" s="1095"/>
      <c r="F133" s="1095"/>
      <c r="K133" s="911"/>
      <c r="L133" s="319"/>
    </row>
    <row r="134" spans="1:12" s="910" customFormat="1" ht="124.4" customHeight="1">
      <c r="B134" s="1095"/>
      <c r="C134" s="1095"/>
      <c r="D134" s="1095"/>
      <c r="E134" s="1095"/>
      <c r="F134" s="1095"/>
      <c r="K134" s="911"/>
      <c r="L134" s="319"/>
    </row>
    <row r="135" spans="1:12" s="910" customFormat="1" ht="22.4" customHeight="1">
      <c r="B135" s="1095"/>
      <c r="C135" s="1095"/>
      <c r="D135" s="1095"/>
      <c r="E135" s="1095"/>
      <c r="F135" s="1095"/>
      <c r="K135" s="911"/>
      <c r="L135" s="319"/>
    </row>
    <row r="136" spans="1:12" s="910" customFormat="1" ht="64.400000000000006" customHeight="1">
      <c r="B136" s="1095"/>
      <c r="C136" s="1095"/>
      <c r="D136" s="1095"/>
      <c r="E136" s="1095"/>
      <c r="F136" s="1095"/>
      <c r="K136" s="911"/>
      <c r="L136" s="319"/>
    </row>
    <row r="137" spans="1:12" s="910" customFormat="1" ht="25.4" customHeight="1">
      <c r="B137" s="1095"/>
      <c r="C137" s="1095"/>
      <c r="D137" s="1095"/>
      <c r="E137" s="1095"/>
      <c r="F137" s="1095"/>
      <c r="K137" s="911"/>
      <c r="L137" s="319"/>
    </row>
    <row r="138" spans="1:12" s="910" customFormat="1" ht="10.4" customHeight="1">
      <c r="B138" s="1095"/>
      <c r="C138" s="1095"/>
      <c r="D138" s="1095"/>
      <c r="E138" s="1095"/>
      <c r="F138" s="1095"/>
      <c r="K138" s="911"/>
      <c r="L138" s="319"/>
    </row>
    <row r="139" spans="1:12" s="910" customFormat="1" ht="65.150000000000006" customHeight="1">
      <c r="B139" s="1095"/>
      <c r="C139" s="1095"/>
      <c r="D139" s="1095"/>
      <c r="E139" s="1095"/>
      <c r="F139" s="1095"/>
      <c r="K139" s="911"/>
      <c r="L139" s="319"/>
    </row>
    <row r="140" spans="1:12" s="910" customFormat="1" ht="10.4" customHeight="1">
      <c r="A140" s="320"/>
      <c r="B140" s="319"/>
      <c r="K140" s="911"/>
      <c r="L140" s="319"/>
    </row>
    <row r="141" spans="1:12" s="910" customFormat="1" ht="10.4" customHeight="1">
      <c r="A141" s="320"/>
      <c r="B141" s="319"/>
      <c r="K141" s="911"/>
      <c r="L141" s="319"/>
    </row>
  </sheetData>
  <mergeCells count="10">
    <mergeCell ref="B136:F136"/>
    <mergeCell ref="B137:F137"/>
    <mergeCell ref="B138:F138"/>
    <mergeCell ref="B139:F139"/>
    <mergeCell ref="L25:L32"/>
    <mergeCell ref="B131:F131"/>
    <mergeCell ref="B132:F132"/>
    <mergeCell ref="B133:F133"/>
    <mergeCell ref="B134:F134"/>
    <mergeCell ref="B135:F135"/>
  </mergeCells>
  <hyperlinks>
    <hyperlink ref="B2" location="'START PAGE'!A1" display="Back to start page" xr:uid="{29713AA9-E252-4E35-9B6F-F16BB83735AE}"/>
  </hyperlinks>
  <pageMargins left="0.7" right="0.7" top="0.75" bottom="0.75" header="0.3" footer="0.3"/>
  <pageSetup paperSize="9" scale="58"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C21FB-9B04-4D81-8DC5-C2D1771A271C}">
  <sheetPr codeName="Sheet15">
    <tabColor theme="4"/>
    <pageSetUpPr fitToPage="1"/>
  </sheetPr>
  <dimension ref="A1:S50"/>
  <sheetViews>
    <sheetView zoomScaleNormal="100" workbookViewId="0">
      <selection activeCell="A5" sqref="A5"/>
    </sheetView>
  </sheetViews>
  <sheetFormatPr defaultColWidth="7.58203125" defaultRowHeight="10.5"/>
  <cols>
    <col min="1" max="1" width="13.58203125" style="464" bestFit="1" customWidth="1"/>
    <col min="2" max="2" width="61.25" style="489" customWidth="1"/>
    <col min="3" max="3" width="5.08203125" style="489" customWidth="1"/>
    <col min="4" max="4" width="4.5" style="465" bestFit="1" customWidth="1"/>
    <col min="5" max="5" width="21.33203125" style="513" customWidth="1"/>
    <col min="6" max="6" width="13.08203125" style="465" customWidth="1"/>
    <col min="7" max="7" width="5" style="465" bestFit="1" customWidth="1"/>
    <col min="8" max="8" width="7.08203125" style="465" customWidth="1"/>
    <col min="9" max="9" width="15.83203125" style="465" bestFit="1" customWidth="1"/>
    <col min="10" max="10" width="44.58203125" style="465" bestFit="1" customWidth="1"/>
    <col min="11" max="11" width="17.5" style="465" customWidth="1"/>
    <col min="12" max="12" width="24.08203125" style="465" customWidth="1"/>
    <col min="13" max="13" width="10.5" style="465" bestFit="1" customWidth="1"/>
    <col min="14" max="14" width="12.08203125" style="465" customWidth="1"/>
    <col min="15" max="15" width="5.08203125" style="465" customWidth="1"/>
    <col min="16" max="16" width="9.08203125" style="465" customWidth="1"/>
    <col min="17" max="17" width="98.5" style="465" bestFit="1" customWidth="1"/>
    <col min="18" max="18" width="128.08203125" style="514" bestFit="1" customWidth="1"/>
    <col min="19" max="16384" width="7.58203125" style="464"/>
  </cols>
  <sheetData>
    <row r="1" spans="1:19" s="466" customFormat="1" ht="16" thickBot="1">
      <c r="A1" s="520" t="s">
        <v>633</v>
      </c>
      <c r="B1" s="521"/>
      <c r="C1" s="521"/>
      <c r="D1" s="521"/>
      <c r="E1" s="521"/>
      <c r="F1" s="521"/>
      <c r="G1" s="521"/>
      <c r="H1" s="521"/>
      <c r="I1" s="521"/>
      <c r="J1" s="521"/>
      <c r="K1" s="521"/>
      <c r="L1" s="521"/>
      <c r="M1" s="521"/>
      <c r="N1" s="521"/>
      <c r="O1" s="521"/>
      <c r="P1" s="521"/>
      <c r="Q1" s="521"/>
      <c r="R1" s="521"/>
    </row>
    <row r="2" spans="1:19" s="818" customFormat="1" ht="16.5" thickTop="1" thickBot="1">
      <c r="A2" s="1062" t="s">
        <v>198</v>
      </c>
      <c r="B2" s="1063"/>
      <c r="C2" s="1063"/>
      <c r="D2" s="1063"/>
      <c r="E2" s="1063"/>
      <c r="F2" s="1063"/>
      <c r="G2" s="1063"/>
      <c r="H2" s="1063"/>
      <c r="I2" s="1063"/>
      <c r="J2" s="1063"/>
      <c r="K2" s="1063"/>
      <c r="L2" s="1063"/>
      <c r="M2" s="1063"/>
      <c r="N2" s="1063"/>
      <c r="O2" s="1063"/>
      <c r="P2" s="1063"/>
      <c r="Q2" s="1063"/>
      <c r="R2" s="1063"/>
    </row>
    <row r="3" spans="1:19" ht="11" thickTop="1">
      <c r="A3" s="1064" t="s">
        <v>634</v>
      </c>
      <c r="B3" s="1065" t="s">
        <v>831</v>
      </c>
      <c r="C3" s="1065"/>
      <c r="D3" s="498" t="s">
        <v>491</v>
      </c>
      <c r="E3" s="498" t="s">
        <v>1284</v>
      </c>
      <c r="F3" s="498" t="s">
        <v>492</v>
      </c>
      <c r="G3" s="498" t="s">
        <v>209</v>
      </c>
      <c r="H3" s="498" t="s">
        <v>493</v>
      </c>
      <c r="I3" s="498" t="s">
        <v>494</v>
      </c>
      <c r="J3" s="498" t="s">
        <v>495</v>
      </c>
      <c r="K3" s="498" t="s">
        <v>496</v>
      </c>
      <c r="L3" s="498" t="s">
        <v>497</v>
      </c>
      <c r="M3" s="498" t="s">
        <v>498</v>
      </c>
      <c r="N3" s="498" t="s">
        <v>499</v>
      </c>
      <c r="O3" s="498" t="s">
        <v>500</v>
      </c>
      <c r="P3" s="498" t="s">
        <v>501</v>
      </c>
      <c r="Q3" s="498" t="s">
        <v>502</v>
      </c>
      <c r="R3" s="1066" t="s">
        <v>503</v>
      </c>
    </row>
    <row r="4" spans="1:19" ht="23.25" customHeight="1">
      <c r="A4" s="1067"/>
      <c r="B4" s="483" t="s">
        <v>1303</v>
      </c>
      <c r="C4" s="483">
        <v>500</v>
      </c>
      <c r="D4" s="495" t="s">
        <v>1285</v>
      </c>
      <c r="E4" s="470">
        <f>G4+G5</f>
        <v>335</v>
      </c>
      <c r="F4" s="496">
        <v>45846</v>
      </c>
      <c r="G4" s="470">
        <v>235</v>
      </c>
      <c r="H4" s="470" t="s">
        <v>15</v>
      </c>
      <c r="I4" s="470"/>
      <c r="J4" s="470" t="s">
        <v>1293</v>
      </c>
      <c r="K4" s="470" t="s">
        <v>376</v>
      </c>
      <c r="L4" s="470" t="s">
        <v>1294</v>
      </c>
      <c r="M4" s="470" t="s">
        <v>509</v>
      </c>
      <c r="N4" s="470" t="s">
        <v>268</v>
      </c>
      <c r="O4" s="470" t="s">
        <v>572</v>
      </c>
      <c r="P4" s="470" t="s">
        <v>809</v>
      </c>
      <c r="Q4" s="470" t="s">
        <v>1295</v>
      </c>
      <c r="R4" s="497" t="s">
        <v>1292</v>
      </c>
    </row>
    <row r="5" spans="1:19">
      <c r="A5" s="1068"/>
      <c r="B5" s="1069"/>
      <c r="C5" s="1069"/>
      <c r="D5" s="508"/>
      <c r="E5" s="494"/>
      <c r="F5" s="509">
        <v>45763</v>
      </c>
      <c r="G5" s="494">
        <v>100</v>
      </c>
      <c r="H5" s="494" t="s">
        <v>15</v>
      </c>
      <c r="I5" s="494"/>
      <c r="J5" s="508" t="s">
        <v>1296</v>
      </c>
      <c r="K5" s="494" t="s">
        <v>389</v>
      </c>
      <c r="L5" s="494" t="s">
        <v>1297</v>
      </c>
      <c r="M5" s="494" t="s">
        <v>517</v>
      </c>
      <c r="N5" s="494" t="s">
        <v>536</v>
      </c>
      <c r="O5" s="494" t="s">
        <v>1298</v>
      </c>
      <c r="P5" s="494" t="s">
        <v>1298</v>
      </c>
      <c r="Q5" s="494" t="s">
        <v>1300</v>
      </c>
      <c r="R5" s="494" t="s">
        <v>1299</v>
      </c>
    </row>
    <row r="6" spans="1:19">
      <c r="A6" s="1067"/>
      <c r="B6" s="483">
        <v>600</v>
      </c>
      <c r="C6" s="483">
        <f>B6</f>
        <v>600</v>
      </c>
      <c r="D6" s="495" t="s">
        <v>1076</v>
      </c>
      <c r="E6" s="470">
        <f>SUM(G6:G7)</f>
        <v>380</v>
      </c>
      <c r="F6" s="496">
        <v>45761</v>
      </c>
      <c r="G6" s="470">
        <v>280</v>
      </c>
      <c r="H6" s="470" t="s">
        <v>14</v>
      </c>
      <c r="I6" s="470" t="s">
        <v>1275</v>
      </c>
      <c r="J6" s="470" t="s">
        <v>1276</v>
      </c>
      <c r="K6" s="470" t="s">
        <v>391</v>
      </c>
      <c r="L6" s="470" t="s">
        <v>990</v>
      </c>
      <c r="M6" s="470" t="s">
        <v>1081</v>
      </c>
      <c r="N6" s="470" t="s">
        <v>1277</v>
      </c>
      <c r="O6" s="470" t="s">
        <v>572</v>
      </c>
      <c r="P6" s="470" t="s">
        <v>809</v>
      </c>
      <c r="Q6" s="470" t="s">
        <v>1278</v>
      </c>
      <c r="R6" s="497" t="s">
        <v>1279</v>
      </c>
    </row>
    <row r="7" spans="1:19" ht="10">
      <c r="A7" s="1070"/>
      <c r="B7" s="1071"/>
      <c r="C7" s="1072"/>
      <c r="D7" s="492"/>
      <c r="E7" s="492"/>
      <c r="F7" s="510">
        <v>45729</v>
      </c>
      <c r="G7" s="492">
        <v>100</v>
      </c>
      <c r="H7" s="492" t="s">
        <v>14</v>
      </c>
      <c r="I7" s="492" t="s">
        <v>1077</v>
      </c>
      <c r="J7" s="492" t="s">
        <v>1079</v>
      </c>
      <c r="K7" s="492" t="s">
        <v>374</v>
      </c>
      <c r="L7" s="492" t="s">
        <v>1080</v>
      </c>
      <c r="M7" s="492" t="s">
        <v>1081</v>
      </c>
      <c r="N7" s="492" t="s">
        <v>268</v>
      </c>
      <c r="O7" s="492" t="s">
        <v>569</v>
      </c>
      <c r="P7" s="492" t="s">
        <v>809</v>
      </c>
      <c r="Q7" s="492" t="s">
        <v>1082</v>
      </c>
      <c r="R7" s="492" t="s">
        <v>1078</v>
      </c>
    </row>
    <row r="8" spans="1:19">
      <c r="A8" s="1073"/>
      <c r="B8" s="486">
        <v>820</v>
      </c>
      <c r="C8" s="486">
        <v>820</v>
      </c>
      <c r="D8" s="504" t="s">
        <v>1039</v>
      </c>
      <c r="E8" s="477">
        <f>SUM(G8:G9)</f>
        <v>450</v>
      </c>
      <c r="F8" s="505">
        <v>45673</v>
      </c>
      <c r="G8" s="477">
        <v>250</v>
      </c>
      <c r="H8" s="477" t="s">
        <v>17</v>
      </c>
      <c r="I8" s="477" t="s">
        <v>506</v>
      </c>
      <c r="J8" s="477" t="s">
        <v>1062</v>
      </c>
      <c r="K8" s="477" t="s">
        <v>389</v>
      </c>
      <c r="L8" s="477" t="s">
        <v>1050</v>
      </c>
      <c r="M8" s="477" t="s">
        <v>1050</v>
      </c>
      <c r="N8" s="477" t="s">
        <v>1050</v>
      </c>
      <c r="O8" s="477" t="s">
        <v>843</v>
      </c>
      <c r="P8" s="477" t="s">
        <v>844</v>
      </c>
      <c r="Q8" s="477" t="s">
        <v>1056</v>
      </c>
      <c r="R8" s="506" t="s">
        <v>1051</v>
      </c>
      <c r="S8" s="1001"/>
    </row>
    <row r="9" spans="1:19" ht="10">
      <c r="A9" s="1074"/>
      <c r="B9" s="1075"/>
      <c r="C9" s="1076"/>
      <c r="D9" s="473"/>
      <c r="E9" s="473"/>
      <c r="F9" s="499">
        <v>45664</v>
      </c>
      <c r="G9" s="473">
        <v>200</v>
      </c>
      <c r="H9" s="473" t="s">
        <v>17</v>
      </c>
      <c r="I9" s="473" t="s">
        <v>1048</v>
      </c>
      <c r="J9" s="473" t="s">
        <v>1049</v>
      </c>
      <c r="K9" s="473" t="s">
        <v>389</v>
      </c>
      <c r="L9" s="473" t="s">
        <v>922</v>
      </c>
      <c r="M9" s="473" t="s">
        <v>517</v>
      </c>
      <c r="N9" s="473" t="s">
        <v>536</v>
      </c>
      <c r="O9" s="473" t="s">
        <v>843</v>
      </c>
      <c r="P9" s="473" t="s">
        <v>809</v>
      </c>
      <c r="Q9" s="473" t="s">
        <v>1055</v>
      </c>
      <c r="R9" s="500" t="s">
        <v>1047</v>
      </c>
    </row>
    <row r="10" spans="1:19" ht="20">
      <c r="A10" s="1077" t="s">
        <v>1280</v>
      </c>
      <c r="B10" s="726"/>
      <c r="C10" s="1072"/>
      <c r="D10" s="470"/>
      <c r="E10" s="470"/>
      <c r="F10" s="496">
        <v>45664</v>
      </c>
      <c r="G10" s="470">
        <v>305</v>
      </c>
      <c r="H10" s="470" t="s">
        <v>16</v>
      </c>
      <c r="I10" s="470" t="s">
        <v>1052</v>
      </c>
      <c r="J10" s="470" t="s">
        <v>1053</v>
      </c>
      <c r="K10" s="470" t="s">
        <v>376</v>
      </c>
      <c r="L10" s="470" t="s">
        <v>922</v>
      </c>
      <c r="M10" s="470" t="s">
        <v>517</v>
      </c>
      <c r="N10" s="470" t="s">
        <v>268</v>
      </c>
      <c r="O10" s="470" t="s">
        <v>843</v>
      </c>
      <c r="P10" s="470" t="s">
        <v>809</v>
      </c>
      <c r="Q10" s="470" t="s">
        <v>1054</v>
      </c>
      <c r="R10" s="500" t="s">
        <v>1047</v>
      </c>
    </row>
    <row r="11" spans="1:19" ht="10">
      <c r="A11" s="1078" t="s">
        <v>1281</v>
      </c>
      <c r="B11" s="1079">
        <v>1400</v>
      </c>
      <c r="C11" s="1072">
        <v>1400</v>
      </c>
      <c r="D11" s="492" t="s">
        <v>1016</v>
      </c>
      <c r="E11" s="470">
        <v>885</v>
      </c>
      <c r="F11" s="510">
        <v>45573</v>
      </c>
      <c r="G11" s="492">
        <v>350</v>
      </c>
      <c r="H11" s="492" t="s">
        <v>16</v>
      </c>
      <c r="I11" s="492" t="s">
        <v>1017</v>
      </c>
      <c r="J11" s="492" t="s">
        <v>1025</v>
      </c>
      <c r="K11" s="492" t="s">
        <v>1018</v>
      </c>
      <c r="L11" s="492" t="s">
        <v>1019</v>
      </c>
      <c r="M11" s="492" t="s">
        <v>509</v>
      </c>
      <c r="N11" s="492" t="s">
        <v>1020</v>
      </c>
      <c r="O11" s="492" t="s">
        <v>569</v>
      </c>
      <c r="P11" s="492" t="s">
        <v>809</v>
      </c>
      <c r="Q11" s="492" t="s">
        <v>1021</v>
      </c>
      <c r="R11" s="492" t="s">
        <v>1022</v>
      </c>
    </row>
    <row r="12" spans="1:19" ht="10">
      <c r="A12" s="1077"/>
      <c r="B12" s="726"/>
      <c r="C12" s="726"/>
      <c r="D12" s="470"/>
      <c r="E12" s="470"/>
      <c r="F12" s="496">
        <v>45573</v>
      </c>
      <c r="G12" s="470">
        <v>335</v>
      </c>
      <c r="H12" s="470" t="s">
        <v>16</v>
      </c>
      <c r="I12" s="470" t="s">
        <v>1023</v>
      </c>
      <c r="J12" s="470" t="s">
        <v>1024</v>
      </c>
      <c r="K12" s="470" t="s">
        <v>389</v>
      </c>
      <c r="L12" s="470" t="s">
        <v>1026</v>
      </c>
      <c r="M12" s="470" t="s">
        <v>517</v>
      </c>
      <c r="N12" s="470" t="s">
        <v>546</v>
      </c>
      <c r="O12" s="470" t="s">
        <v>572</v>
      </c>
      <c r="P12" s="470" t="s">
        <v>569</v>
      </c>
      <c r="Q12" s="470" t="s">
        <v>1028</v>
      </c>
      <c r="R12" s="497" t="s">
        <v>1027</v>
      </c>
    </row>
    <row r="13" spans="1:19" ht="10">
      <c r="A13" s="1074"/>
      <c r="B13" s="1075"/>
      <c r="C13" s="1075"/>
      <c r="D13" s="473"/>
      <c r="E13" s="473"/>
      <c r="F13" s="499">
        <v>45544</v>
      </c>
      <c r="G13" s="473">
        <v>200</v>
      </c>
      <c r="H13" s="473" t="s">
        <v>16</v>
      </c>
      <c r="I13" s="473" t="s">
        <v>1030</v>
      </c>
      <c r="J13" s="473" t="s">
        <v>1031</v>
      </c>
      <c r="K13" s="473" t="s">
        <v>389</v>
      </c>
      <c r="L13" s="473" t="s">
        <v>1032</v>
      </c>
      <c r="M13" s="473" t="s">
        <v>517</v>
      </c>
      <c r="N13" s="473" t="s">
        <v>1033</v>
      </c>
      <c r="O13" s="473" t="s">
        <v>572</v>
      </c>
      <c r="P13" s="473"/>
      <c r="Q13" s="473"/>
      <c r="R13" s="500" t="s">
        <v>1029</v>
      </c>
    </row>
    <row r="14" spans="1:19">
      <c r="A14" s="1064"/>
      <c r="B14" s="484" t="s">
        <v>988</v>
      </c>
      <c r="C14" s="484">
        <v>950</v>
      </c>
      <c r="D14" s="498" t="s">
        <v>986</v>
      </c>
      <c r="E14" s="473">
        <v>215</v>
      </c>
      <c r="F14" s="499">
        <v>45447</v>
      </c>
      <c r="G14" s="473">
        <v>215</v>
      </c>
      <c r="H14" s="473" t="s">
        <v>15</v>
      </c>
      <c r="I14" s="473" t="s">
        <v>821</v>
      </c>
      <c r="J14" s="473" t="s">
        <v>845</v>
      </c>
      <c r="K14" s="473" t="s">
        <v>989</v>
      </c>
      <c r="L14" s="473" t="s">
        <v>990</v>
      </c>
      <c r="M14" s="473" t="s">
        <v>558</v>
      </c>
      <c r="N14" s="473" t="s">
        <v>273</v>
      </c>
      <c r="O14" s="473" t="s">
        <v>843</v>
      </c>
      <c r="P14" s="473" t="s">
        <v>991</v>
      </c>
      <c r="Q14" s="473" t="s">
        <v>992</v>
      </c>
      <c r="R14" s="500" t="s">
        <v>993</v>
      </c>
    </row>
    <row r="15" spans="1:19">
      <c r="A15" s="1080"/>
      <c r="B15" s="485" t="s">
        <v>973</v>
      </c>
      <c r="C15" s="485">
        <v>400</v>
      </c>
      <c r="D15" s="501" t="s">
        <v>872</v>
      </c>
      <c r="E15" s="475">
        <v>200</v>
      </c>
      <c r="F15" s="502">
        <v>45362</v>
      </c>
      <c r="G15" s="475">
        <v>200</v>
      </c>
      <c r="H15" s="475" t="s">
        <v>14</v>
      </c>
      <c r="I15" s="475"/>
      <c r="J15" s="475" t="s">
        <v>845</v>
      </c>
      <c r="K15" s="475" t="s">
        <v>556</v>
      </c>
      <c r="L15" s="475" t="s">
        <v>974</v>
      </c>
      <c r="M15" s="475" t="s">
        <v>558</v>
      </c>
      <c r="N15" s="475" t="s">
        <v>975</v>
      </c>
      <c r="O15" s="475" t="s">
        <v>843</v>
      </c>
      <c r="P15" s="475"/>
      <c r="Q15" s="475" t="s">
        <v>978</v>
      </c>
      <c r="R15" s="503" t="s">
        <v>976</v>
      </c>
    </row>
    <row r="16" spans="1:19">
      <c r="A16" s="469" t="s">
        <v>636</v>
      </c>
      <c r="B16" s="483" t="s">
        <v>855</v>
      </c>
      <c r="C16" s="483">
        <v>1200</v>
      </c>
      <c r="D16" s="495" t="s">
        <v>835</v>
      </c>
      <c r="E16" s="470">
        <f>SUM(G16:G18)</f>
        <v>680</v>
      </c>
      <c r="F16" s="496">
        <v>45307</v>
      </c>
      <c r="G16" s="470">
        <v>50</v>
      </c>
      <c r="H16" s="470" t="s">
        <v>17</v>
      </c>
      <c r="I16" s="470" t="s">
        <v>841</v>
      </c>
      <c r="J16" s="470" t="s">
        <v>842</v>
      </c>
      <c r="K16" s="470" t="s">
        <v>376</v>
      </c>
      <c r="L16" s="470" t="s">
        <v>628</v>
      </c>
      <c r="M16" s="470" t="s">
        <v>558</v>
      </c>
      <c r="N16" s="470" t="s">
        <v>268</v>
      </c>
      <c r="O16" s="470" t="s">
        <v>843</v>
      </c>
      <c r="P16" s="470" t="s">
        <v>844</v>
      </c>
      <c r="Q16" s="726" t="s">
        <v>1000</v>
      </c>
      <c r="R16" s="497" t="s">
        <v>977</v>
      </c>
    </row>
    <row r="17" spans="1:18">
      <c r="A17" s="1067"/>
      <c r="B17" s="1081"/>
      <c r="C17" s="1081"/>
      <c r="D17" s="495"/>
      <c r="E17" s="470"/>
      <c r="F17" s="496">
        <v>45301</v>
      </c>
      <c r="G17" s="470">
        <v>350</v>
      </c>
      <c r="H17" s="470" t="s">
        <v>17</v>
      </c>
      <c r="I17" s="470"/>
      <c r="J17" s="470" t="s">
        <v>845</v>
      </c>
      <c r="K17" s="470" t="s">
        <v>390</v>
      </c>
      <c r="L17" s="470" t="s">
        <v>849</v>
      </c>
      <c r="M17" s="470" t="s">
        <v>558</v>
      </c>
      <c r="N17" s="470" t="s">
        <v>546</v>
      </c>
      <c r="O17" s="470" t="s">
        <v>572</v>
      </c>
      <c r="P17" s="470" t="s">
        <v>850</v>
      </c>
      <c r="Q17" s="470" t="s">
        <v>851</v>
      </c>
      <c r="R17" s="497"/>
    </row>
    <row r="18" spans="1:18" s="628" customFormat="1" ht="10">
      <c r="A18" s="1074"/>
      <c r="B18" s="1075"/>
      <c r="C18" s="1075"/>
      <c r="D18" s="473"/>
      <c r="E18" s="473"/>
      <c r="F18" s="499">
        <v>45279</v>
      </c>
      <c r="G18" s="473">
        <v>280</v>
      </c>
      <c r="H18" s="473" t="s">
        <v>17</v>
      </c>
      <c r="I18" s="473"/>
      <c r="J18" s="473" t="s">
        <v>845</v>
      </c>
      <c r="K18" s="473" t="s">
        <v>404</v>
      </c>
      <c r="L18" s="473" t="s">
        <v>597</v>
      </c>
      <c r="M18" s="473" t="s">
        <v>509</v>
      </c>
      <c r="N18" s="473" t="s">
        <v>268</v>
      </c>
      <c r="O18" s="473" t="s">
        <v>846</v>
      </c>
      <c r="P18" s="473" t="s">
        <v>547</v>
      </c>
      <c r="Q18" s="473" t="s">
        <v>847</v>
      </c>
      <c r="R18" s="500" t="s">
        <v>848</v>
      </c>
    </row>
    <row r="19" spans="1:18" ht="20">
      <c r="A19" s="469"/>
      <c r="B19" s="483" t="s">
        <v>852</v>
      </c>
      <c r="C19" s="483">
        <v>1000</v>
      </c>
      <c r="D19" s="495" t="s">
        <v>816</v>
      </c>
      <c r="E19" s="470">
        <f>G19+G20</f>
        <v>830</v>
      </c>
      <c r="F19" s="496">
        <v>45209</v>
      </c>
      <c r="G19" s="470">
        <v>130</v>
      </c>
      <c r="H19" s="470" t="s">
        <v>16</v>
      </c>
      <c r="I19" s="470" t="s">
        <v>821</v>
      </c>
      <c r="J19" s="470" t="s">
        <v>523</v>
      </c>
      <c r="K19" s="470" t="s">
        <v>389</v>
      </c>
      <c r="L19" s="470" t="s">
        <v>822</v>
      </c>
      <c r="M19" s="470" t="s">
        <v>558</v>
      </c>
      <c r="N19" s="470" t="s">
        <v>823</v>
      </c>
      <c r="O19" s="470" t="s">
        <v>511</v>
      </c>
      <c r="P19" s="470" t="s">
        <v>824</v>
      </c>
      <c r="Q19" s="470" t="s">
        <v>825</v>
      </c>
      <c r="R19" s="497" t="s">
        <v>820</v>
      </c>
    </row>
    <row r="20" spans="1:18">
      <c r="A20" s="472"/>
      <c r="B20" s="484"/>
      <c r="C20" s="484"/>
      <c r="D20" s="498"/>
      <c r="E20" s="473"/>
      <c r="F20" s="499">
        <v>45174</v>
      </c>
      <c r="G20" s="473">
        <v>700</v>
      </c>
      <c r="H20" s="473" t="s">
        <v>16</v>
      </c>
      <c r="I20" s="473" t="s">
        <v>826</v>
      </c>
      <c r="J20" s="473" t="s">
        <v>523</v>
      </c>
      <c r="K20" s="473" t="s">
        <v>507</v>
      </c>
      <c r="L20" s="473" t="s">
        <v>827</v>
      </c>
      <c r="M20" s="473" t="s">
        <v>558</v>
      </c>
      <c r="N20" s="473" t="s">
        <v>575</v>
      </c>
      <c r="O20" s="473" t="s">
        <v>511</v>
      </c>
      <c r="P20" s="473" t="s">
        <v>829</v>
      </c>
      <c r="Q20" s="473" t="s">
        <v>828</v>
      </c>
      <c r="R20" s="500" t="s">
        <v>830</v>
      </c>
    </row>
    <row r="21" spans="1:18" s="471" customFormat="1" ht="32.25" customHeight="1">
      <c r="A21" s="472"/>
      <c r="B21" s="484" t="s">
        <v>819</v>
      </c>
      <c r="C21" s="484">
        <v>550</v>
      </c>
      <c r="D21" s="498" t="s">
        <v>812</v>
      </c>
      <c r="E21" s="473">
        <v>130</v>
      </c>
      <c r="F21" s="509">
        <v>45077</v>
      </c>
      <c r="G21" s="494">
        <v>130</v>
      </c>
      <c r="H21" s="494" t="s">
        <v>15</v>
      </c>
      <c r="I21" s="494" t="s">
        <v>506</v>
      </c>
      <c r="J21" s="494" t="s">
        <v>506</v>
      </c>
      <c r="K21" s="494" t="s">
        <v>807</v>
      </c>
      <c r="L21" s="494" t="s">
        <v>469</v>
      </c>
      <c r="M21" s="494" t="s">
        <v>509</v>
      </c>
      <c r="N21" s="494" t="s">
        <v>808</v>
      </c>
      <c r="O21" s="473" t="s">
        <v>809</v>
      </c>
      <c r="P21" s="473" t="s">
        <v>512</v>
      </c>
      <c r="Q21" s="473" t="s">
        <v>810</v>
      </c>
      <c r="R21" s="494" t="s">
        <v>811</v>
      </c>
    </row>
    <row r="22" spans="1:18" s="471" customFormat="1" ht="14.15" customHeight="1">
      <c r="A22" s="469" t="s">
        <v>806</v>
      </c>
      <c r="B22" s="1097" t="s">
        <v>805</v>
      </c>
      <c r="C22" s="483">
        <v>900</v>
      </c>
      <c r="D22" s="495" t="s">
        <v>803</v>
      </c>
      <c r="E22" s="470">
        <f>SUM(G22:G24)</f>
        <v>800</v>
      </c>
      <c r="F22" s="496">
        <v>45008</v>
      </c>
      <c r="G22" s="470">
        <v>175</v>
      </c>
      <c r="H22" s="470" t="s">
        <v>14</v>
      </c>
      <c r="I22" s="470" t="s">
        <v>505</v>
      </c>
      <c r="J22" s="470" t="s">
        <v>506</v>
      </c>
      <c r="K22" s="470" t="s">
        <v>507</v>
      </c>
      <c r="L22" s="470" t="s">
        <v>508</v>
      </c>
      <c r="M22" s="470" t="s">
        <v>509</v>
      </c>
      <c r="N22" s="470" t="s">
        <v>510</v>
      </c>
      <c r="O22" s="470" t="s">
        <v>511</v>
      </c>
      <c r="P22" s="470" t="s">
        <v>512</v>
      </c>
      <c r="Q22" s="470" t="s">
        <v>513</v>
      </c>
      <c r="R22" s="497" t="s">
        <v>514</v>
      </c>
    </row>
    <row r="23" spans="1:18" s="471" customFormat="1" ht="14.15" customHeight="1">
      <c r="A23" s="469"/>
      <c r="B23" s="1098"/>
      <c r="C23" s="483"/>
      <c r="D23" s="495"/>
      <c r="E23" s="470"/>
      <c r="F23" s="496">
        <v>44999</v>
      </c>
      <c r="G23" s="470">
        <v>500</v>
      </c>
      <c r="H23" s="470" t="s">
        <v>14</v>
      </c>
      <c r="I23" s="470" t="s">
        <v>515</v>
      </c>
      <c r="J23" s="470">
        <v>96</v>
      </c>
      <c r="K23" s="470" t="s">
        <v>389</v>
      </c>
      <c r="L23" s="470" t="s">
        <v>516</v>
      </c>
      <c r="M23" s="470" t="s">
        <v>517</v>
      </c>
      <c r="N23" s="470" t="s">
        <v>518</v>
      </c>
      <c r="O23" s="470" t="s">
        <v>511</v>
      </c>
      <c r="P23" s="470" t="s">
        <v>519</v>
      </c>
      <c r="Q23" s="470" t="s">
        <v>520</v>
      </c>
      <c r="R23" s="497" t="s">
        <v>521</v>
      </c>
    </row>
    <row r="24" spans="1:18" s="471" customFormat="1" ht="14.15" customHeight="1">
      <c r="A24" s="472"/>
      <c r="B24" s="484"/>
      <c r="C24" s="484"/>
      <c r="D24" s="498"/>
      <c r="E24" s="473"/>
      <c r="F24" s="499">
        <v>44950</v>
      </c>
      <c r="G24" s="473">
        <v>125</v>
      </c>
      <c r="H24" s="473" t="s">
        <v>14</v>
      </c>
      <c r="I24" s="473" t="s">
        <v>522</v>
      </c>
      <c r="J24" s="473" t="s">
        <v>523</v>
      </c>
      <c r="K24" s="473" t="s">
        <v>524</v>
      </c>
      <c r="L24" s="473" t="s">
        <v>525</v>
      </c>
      <c r="M24" s="473" t="s">
        <v>509</v>
      </c>
      <c r="N24" s="473" t="s">
        <v>526</v>
      </c>
      <c r="O24" s="473"/>
      <c r="P24" s="473"/>
      <c r="Q24" s="473" t="s">
        <v>527</v>
      </c>
      <c r="R24" s="500" t="s">
        <v>528</v>
      </c>
    </row>
    <row r="25" spans="1:18" s="471" customFormat="1" ht="14.15" customHeight="1">
      <c r="A25" s="469" t="s">
        <v>635</v>
      </c>
      <c r="B25" s="485" t="s">
        <v>529</v>
      </c>
      <c r="C25" s="485">
        <v>400</v>
      </c>
      <c r="D25" s="501" t="s">
        <v>530</v>
      </c>
      <c r="E25" s="475">
        <v>0</v>
      </c>
      <c r="F25" s="502" t="s">
        <v>113</v>
      </c>
      <c r="G25" s="475"/>
      <c r="H25" s="475"/>
      <c r="I25" s="475"/>
      <c r="J25" s="475"/>
      <c r="K25" s="475"/>
      <c r="L25" s="475"/>
      <c r="M25" s="475"/>
      <c r="N25" s="475"/>
      <c r="O25" s="475"/>
      <c r="P25" s="475"/>
      <c r="Q25" s="475"/>
      <c r="R25" s="503"/>
    </row>
    <row r="26" spans="1:18" s="471" customFormat="1" ht="14.15" customHeight="1">
      <c r="A26" s="476" t="s">
        <v>636</v>
      </c>
      <c r="B26" s="486" t="s">
        <v>531</v>
      </c>
      <c r="C26" s="486">
        <v>1000</v>
      </c>
      <c r="D26" s="504" t="s">
        <v>532</v>
      </c>
      <c r="E26" s="477">
        <f>SUM(G26:G28)</f>
        <v>730</v>
      </c>
      <c r="F26" s="505">
        <v>44847</v>
      </c>
      <c r="G26" s="477">
        <v>300</v>
      </c>
      <c r="H26" s="477" t="s">
        <v>16</v>
      </c>
      <c r="I26" s="477" t="s">
        <v>533</v>
      </c>
      <c r="J26" s="477" t="s">
        <v>534</v>
      </c>
      <c r="K26" s="477" t="s">
        <v>389</v>
      </c>
      <c r="L26" s="477" t="s">
        <v>535</v>
      </c>
      <c r="M26" s="477" t="s">
        <v>517</v>
      </c>
      <c r="N26" s="477" t="s">
        <v>536</v>
      </c>
      <c r="O26" s="477" t="s">
        <v>511</v>
      </c>
      <c r="P26" s="477" t="s">
        <v>537</v>
      </c>
      <c r="Q26" s="477" t="s">
        <v>538</v>
      </c>
      <c r="R26" s="506" t="s">
        <v>539</v>
      </c>
    </row>
    <row r="27" spans="1:18" s="471" customFormat="1" ht="14.15" customHeight="1">
      <c r="A27" s="469"/>
      <c r="B27" s="483"/>
      <c r="C27" s="483"/>
      <c r="D27" s="495"/>
      <c r="E27" s="470"/>
      <c r="F27" s="496">
        <v>44845</v>
      </c>
      <c r="G27" s="470">
        <v>300</v>
      </c>
      <c r="H27" s="470" t="s">
        <v>16</v>
      </c>
      <c r="I27" s="470" t="s">
        <v>523</v>
      </c>
      <c r="J27" s="470" t="s">
        <v>523</v>
      </c>
      <c r="K27" s="470" t="s">
        <v>540</v>
      </c>
      <c r="L27" s="470" t="s">
        <v>541</v>
      </c>
      <c r="M27" s="470" t="s">
        <v>509</v>
      </c>
      <c r="N27" s="470" t="s">
        <v>518</v>
      </c>
      <c r="O27" s="470" t="s">
        <v>511</v>
      </c>
      <c r="P27" s="470" t="s">
        <v>512</v>
      </c>
      <c r="Q27" s="470" t="s">
        <v>542</v>
      </c>
      <c r="R27" s="497" t="s">
        <v>543</v>
      </c>
    </row>
    <row r="28" spans="1:18" s="471" customFormat="1" ht="14.15" customHeight="1">
      <c r="A28" s="472"/>
      <c r="B28" s="484"/>
      <c r="C28" s="484"/>
      <c r="D28" s="498"/>
      <c r="E28" s="473"/>
      <c r="F28" s="499">
        <v>44839</v>
      </c>
      <c r="G28" s="473">
        <v>130</v>
      </c>
      <c r="H28" s="473" t="s">
        <v>16</v>
      </c>
      <c r="I28" s="473" t="s">
        <v>544</v>
      </c>
      <c r="J28" s="473" t="s">
        <v>506</v>
      </c>
      <c r="K28" s="473" t="s">
        <v>389</v>
      </c>
      <c r="L28" s="473" t="s">
        <v>545</v>
      </c>
      <c r="M28" s="473" t="s">
        <v>509</v>
      </c>
      <c r="N28" s="473" t="s">
        <v>546</v>
      </c>
      <c r="O28" s="473"/>
      <c r="P28" s="473" t="s">
        <v>547</v>
      </c>
      <c r="Q28" s="473" t="s">
        <v>548</v>
      </c>
      <c r="R28" s="500" t="s">
        <v>549</v>
      </c>
    </row>
    <row r="29" spans="1:18" s="471" customFormat="1" ht="14.15" customHeight="1">
      <c r="A29" s="476"/>
      <c r="B29" s="1097" t="s">
        <v>550</v>
      </c>
      <c r="C29" s="486">
        <v>800</v>
      </c>
      <c r="D29" s="504" t="s">
        <v>551</v>
      </c>
      <c r="E29" s="477">
        <f>SUM(G29:G33)</f>
        <v>640</v>
      </c>
      <c r="F29" s="505">
        <v>44762</v>
      </c>
      <c r="G29" s="477">
        <v>150</v>
      </c>
      <c r="H29" s="477" t="s">
        <v>15</v>
      </c>
      <c r="I29" s="477"/>
      <c r="J29" s="477" t="s">
        <v>523</v>
      </c>
      <c r="K29" s="477" t="s">
        <v>552</v>
      </c>
      <c r="L29" s="477" t="s">
        <v>553</v>
      </c>
      <c r="M29" s="477" t="s">
        <v>517</v>
      </c>
      <c r="N29" s="477" t="s">
        <v>536</v>
      </c>
      <c r="O29" s="477" t="s">
        <v>511</v>
      </c>
      <c r="P29" s="477" t="s">
        <v>547</v>
      </c>
      <c r="Q29" s="477" t="s">
        <v>554</v>
      </c>
      <c r="R29" s="506" t="s">
        <v>555</v>
      </c>
    </row>
    <row r="30" spans="1:18" s="471" customFormat="1" ht="14.15" customHeight="1">
      <c r="A30" s="469"/>
      <c r="B30" s="1098"/>
      <c r="C30" s="483"/>
      <c r="D30" s="470"/>
      <c r="E30" s="470"/>
      <c r="F30" s="496">
        <v>44750</v>
      </c>
      <c r="G30" s="470">
        <v>140</v>
      </c>
      <c r="H30" s="470" t="s">
        <v>15</v>
      </c>
      <c r="I30" s="470" t="s">
        <v>523</v>
      </c>
      <c r="J30" s="470" t="s">
        <v>506</v>
      </c>
      <c r="K30" s="470" t="s">
        <v>556</v>
      </c>
      <c r="L30" s="470" t="s">
        <v>557</v>
      </c>
      <c r="M30" s="470" t="s">
        <v>558</v>
      </c>
      <c r="N30" s="470" t="s">
        <v>546</v>
      </c>
      <c r="O30" s="470" t="s">
        <v>511</v>
      </c>
      <c r="P30" s="470" t="s">
        <v>547</v>
      </c>
      <c r="Q30" s="470" t="s">
        <v>559</v>
      </c>
      <c r="R30" s="497" t="s">
        <v>560</v>
      </c>
    </row>
    <row r="31" spans="1:18" s="471" customFormat="1" ht="14.15" customHeight="1">
      <c r="A31" s="469"/>
      <c r="B31" s="483"/>
      <c r="C31" s="483"/>
      <c r="D31" s="495"/>
      <c r="E31" s="470"/>
      <c r="F31" s="496">
        <v>44746</v>
      </c>
      <c r="G31" s="470">
        <v>100</v>
      </c>
      <c r="H31" s="470" t="s">
        <v>15</v>
      </c>
      <c r="I31" s="470" t="s">
        <v>523</v>
      </c>
      <c r="J31" s="470">
        <v>23</v>
      </c>
      <c r="K31" s="470" t="s">
        <v>374</v>
      </c>
      <c r="L31" s="470" t="s">
        <v>561</v>
      </c>
      <c r="M31" s="470" t="s">
        <v>558</v>
      </c>
      <c r="N31" s="470" t="s">
        <v>562</v>
      </c>
      <c r="O31" s="470" t="s">
        <v>511</v>
      </c>
      <c r="P31" s="470" t="s">
        <v>512</v>
      </c>
      <c r="Q31" s="470" t="s">
        <v>563</v>
      </c>
      <c r="R31" s="497" t="s">
        <v>564</v>
      </c>
    </row>
    <row r="32" spans="1:18" s="471" customFormat="1" ht="14.15" customHeight="1">
      <c r="A32" s="469"/>
      <c r="B32" s="483"/>
      <c r="C32" s="483"/>
      <c r="D32" s="495"/>
      <c r="E32" s="470"/>
      <c r="F32" s="496">
        <v>44742</v>
      </c>
      <c r="G32" s="470">
        <v>150</v>
      </c>
      <c r="H32" s="470" t="s">
        <v>15</v>
      </c>
      <c r="I32" s="470"/>
      <c r="J32" s="470" t="s">
        <v>523</v>
      </c>
      <c r="K32" s="470" t="s">
        <v>389</v>
      </c>
      <c r="L32" s="470" t="s">
        <v>565</v>
      </c>
      <c r="M32" s="470" t="s">
        <v>517</v>
      </c>
      <c r="N32" s="470" t="s">
        <v>536</v>
      </c>
      <c r="O32" s="470" t="s">
        <v>511</v>
      </c>
      <c r="P32" s="470" t="s">
        <v>512</v>
      </c>
      <c r="Q32" s="470" t="s">
        <v>566</v>
      </c>
      <c r="R32" s="507" t="s">
        <v>567</v>
      </c>
    </row>
    <row r="33" spans="1:18" s="479" customFormat="1" ht="14.15" customHeight="1">
      <c r="A33" s="480"/>
      <c r="B33" s="493"/>
      <c r="C33" s="493"/>
      <c r="D33" s="508"/>
      <c r="E33" s="494"/>
      <c r="F33" s="509">
        <v>44732</v>
      </c>
      <c r="G33" s="494">
        <v>100</v>
      </c>
      <c r="H33" s="494" t="s">
        <v>15</v>
      </c>
      <c r="I33" s="494" t="s">
        <v>506</v>
      </c>
      <c r="J33" s="494" t="s">
        <v>506</v>
      </c>
      <c r="K33" s="494" t="s">
        <v>381</v>
      </c>
      <c r="L33" s="494" t="s">
        <v>469</v>
      </c>
      <c r="M33" s="494" t="s">
        <v>558</v>
      </c>
      <c r="N33" s="494" t="s">
        <v>568</v>
      </c>
      <c r="O33" s="494" t="s">
        <v>569</v>
      </c>
      <c r="P33" s="494"/>
      <c r="Q33" s="494" t="s">
        <v>570</v>
      </c>
      <c r="R33" s="494" t="s">
        <v>571</v>
      </c>
    </row>
    <row r="34" spans="1:18" s="471" customFormat="1" ht="14.15" customHeight="1">
      <c r="A34" s="476"/>
      <c r="B34" s="486" t="s">
        <v>573</v>
      </c>
      <c r="C34" s="486">
        <v>800</v>
      </c>
      <c r="D34" s="504" t="s">
        <v>504</v>
      </c>
      <c r="E34" s="477">
        <f>SUM(G34:G38)</f>
        <v>410</v>
      </c>
      <c r="F34" s="505">
        <v>44750</v>
      </c>
      <c r="G34" s="477">
        <v>30</v>
      </c>
      <c r="H34" s="477" t="s">
        <v>14</v>
      </c>
      <c r="I34" s="477" t="s">
        <v>523</v>
      </c>
      <c r="J34" s="477"/>
      <c r="K34" s="477" t="s">
        <v>556</v>
      </c>
      <c r="L34" s="477" t="s">
        <v>557</v>
      </c>
      <c r="M34" s="477" t="s">
        <v>558</v>
      </c>
      <c r="N34" s="477" t="s">
        <v>546</v>
      </c>
      <c r="O34" s="477" t="s">
        <v>572</v>
      </c>
      <c r="P34" s="477" t="s">
        <v>569</v>
      </c>
      <c r="Q34" s="477" t="s">
        <v>559</v>
      </c>
      <c r="R34" s="506" t="s">
        <v>560</v>
      </c>
    </row>
    <row r="35" spans="1:18" s="471" customFormat="1" ht="14.15" customHeight="1">
      <c r="A35" s="469"/>
      <c r="B35" s="487"/>
      <c r="C35" s="487"/>
      <c r="D35" s="495"/>
      <c r="E35" s="470"/>
      <c r="F35" s="496">
        <v>44671</v>
      </c>
      <c r="G35" s="470">
        <v>160</v>
      </c>
      <c r="H35" s="470" t="s">
        <v>14</v>
      </c>
      <c r="I35" s="470" t="s">
        <v>523</v>
      </c>
      <c r="J35" s="470"/>
      <c r="K35" s="470" t="s">
        <v>387</v>
      </c>
      <c r="L35" s="470" t="s">
        <v>574</v>
      </c>
      <c r="M35" s="470" t="s">
        <v>558</v>
      </c>
      <c r="N35" s="470" t="s">
        <v>575</v>
      </c>
      <c r="O35" s="470" t="s">
        <v>572</v>
      </c>
      <c r="P35" s="470" t="s">
        <v>512</v>
      </c>
      <c r="Q35" s="470" t="s">
        <v>576</v>
      </c>
      <c r="R35" s="507" t="s">
        <v>577</v>
      </c>
    </row>
    <row r="36" spans="1:18" s="479" customFormat="1" ht="14.15" customHeight="1">
      <c r="A36" s="478"/>
      <c r="B36" s="491"/>
      <c r="C36" s="491"/>
      <c r="D36" s="492"/>
      <c r="E36" s="492"/>
      <c r="F36" s="510">
        <v>44670</v>
      </c>
      <c r="G36" s="492">
        <v>120</v>
      </c>
      <c r="H36" s="492" t="s">
        <v>14</v>
      </c>
      <c r="I36" s="492" t="s">
        <v>523</v>
      </c>
      <c r="J36" s="492"/>
      <c r="K36" s="492" t="s">
        <v>524</v>
      </c>
      <c r="L36" s="492" t="s">
        <v>578</v>
      </c>
      <c r="M36" s="492" t="s">
        <v>558</v>
      </c>
      <c r="N36" s="492" t="s">
        <v>579</v>
      </c>
      <c r="O36" s="492" t="s">
        <v>547</v>
      </c>
      <c r="P36" s="492"/>
      <c r="Q36" s="492" t="s">
        <v>580</v>
      </c>
      <c r="R36" s="492" t="s">
        <v>581</v>
      </c>
    </row>
    <row r="37" spans="1:18" s="471" customFormat="1" ht="14.15" customHeight="1">
      <c r="A37" s="472"/>
      <c r="B37" s="484"/>
      <c r="C37" s="484"/>
      <c r="D37" s="473"/>
      <c r="E37" s="473"/>
      <c r="F37" s="499">
        <v>44665</v>
      </c>
      <c r="G37" s="473">
        <v>100</v>
      </c>
      <c r="H37" s="473" t="s">
        <v>582</v>
      </c>
      <c r="I37" s="473" t="s">
        <v>523</v>
      </c>
      <c r="J37" s="473"/>
      <c r="K37" s="473" t="s">
        <v>374</v>
      </c>
      <c r="L37" s="473" t="s">
        <v>583</v>
      </c>
      <c r="M37" s="473" t="s">
        <v>558</v>
      </c>
      <c r="N37" s="473" t="s">
        <v>546</v>
      </c>
      <c r="O37" s="473"/>
      <c r="P37" s="473"/>
      <c r="Q37" s="473" t="s">
        <v>584</v>
      </c>
      <c r="R37" s="500" t="s">
        <v>585</v>
      </c>
    </row>
    <row r="38" spans="1:18" s="471" customFormat="1" ht="14.15" customHeight="1">
      <c r="A38" s="474"/>
      <c r="B38" s="485" t="s">
        <v>586</v>
      </c>
      <c r="C38" s="485">
        <v>300</v>
      </c>
      <c r="D38" s="501" t="s">
        <v>587</v>
      </c>
      <c r="E38" s="475">
        <v>0</v>
      </c>
      <c r="F38" s="502"/>
      <c r="G38" s="475"/>
      <c r="H38" s="475"/>
      <c r="I38" s="475"/>
      <c r="J38" s="475"/>
      <c r="K38" s="475"/>
      <c r="L38" s="475"/>
      <c r="M38" s="475"/>
      <c r="N38" s="475"/>
      <c r="O38" s="475"/>
      <c r="P38" s="475"/>
      <c r="Q38" s="475"/>
      <c r="R38" s="503"/>
    </row>
    <row r="39" spans="1:18" s="471" customFormat="1" ht="14.15" customHeight="1">
      <c r="A39" s="476"/>
      <c r="B39" s="486" t="s">
        <v>588</v>
      </c>
      <c r="C39" s="486">
        <v>600</v>
      </c>
      <c r="D39" s="504" t="s">
        <v>589</v>
      </c>
      <c r="E39" s="477">
        <f>SUM(G39:G42)</f>
        <v>575</v>
      </c>
      <c r="F39" s="505">
        <v>44488</v>
      </c>
      <c r="G39" s="477">
        <v>105</v>
      </c>
      <c r="H39" s="477" t="s">
        <v>16</v>
      </c>
      <c r="I39" s="477">
        <v>2022</v>
      </c>
      <c r="J39" s="477"/>
      <c r="K39" s="477" t="s">
        <v>381</v>
      </c>
      <c r="L39" s="477" t="s">
        <v>475</v>
      </c>
      <c r="M39" s="477" t="s">
        <v>558</v>
      </c>
      <c r="N39" s="477" t="s">
        <v>536</v>
      </c>
      <c r="O39" s="477"/>
      <c r="P39" s="477"/>
      <c r="Q39" s="477" t="s">
        <v>590</v>
      </c>
      <c r="R39" s="506" t="s">
        <v>591</v>
      </c>
    </row>
    <row r="40" spans="1:18" s="471" customFormat="1" ht="14.15" customHeight="1">
      <c r="A40" s="469"/>
      <c r="B40" s="483"/>
      <c r="C40" s="483"/>
      <c r="D40" s="495"/>
      <c r="E40" s="470"/>
      <c r="F40" s="496">
        <v>44484</v>
      </c>
      <c r="G40" s="470">
        <v>130</v>
      </c>
      <c r="H40" s="470" t="s">
        <v>16</v>
      </c>
      <c r="I40" s="470" t="s">
        <v>592</v>
      </c>
      <c r="J40" s="470"/>
      <c r="K40" s="470" t="s">
        <v>374</v>
      </c>
      <c r="L40" s="470" t="s">
        <v>593</v>
      </c>
      <c r="M40" s="470" t="s">
        <v>517</v>
      </c>
      <c r="N40" s="470" t="s">
        <v>546</v>
      </c>
      <c r="O40" s="470"/>
      <c r="P40" s="470"/>
      <c r="Q40" s="470" t="s">
        <v>594</v>
      </c>
      <c r="R40" s="497" t="s">
        <v>595</v>
      </c>
    </row>
    <row r="41" spans="1:18" s="471" customFormat="1" ht="14.15" customHeight="1">
      <c r="A41" s="469"/>
      <c r="B41" s="483"/>
      <c r="C41" s="483"/>
      <c r="D41" s="495"/>
      <c r="E41" s="470"/>
      <c r="F41" s="496">
        <v>44483</v>
      </c>
      <c r="G41" s="470">
        <v>140</v>
      </c>
      <c r="H41" s="470" t="s">
        <v>16</v>
      </c>
      <c r="I41" s="470" t="s">
        <v>596</v>
      </c>
      <c r="J41" s="470"/>
      <c r="K41" s="470" t="s">
        <v>404</v>
      </c>
      <c r="L41" s="470" t="s">
        <v>597</v>
      </c>
      <c r="M41" s="470" t="s">
        <v>558</v>
      </c>
      <c r="N41" s="470" t="s">
        <v>268</v>
      </c>
      <c r="O41" s="470"/>
      <c r="P41" s="470"/>
      <c r="Q41" s="470"/>
      <c r="R41" s="497" t="s">
        <v>598</v>
      </c>
    </row>
    <row r="42" spans="1:18" s="471" customFormat="1" ht="14.15" customHeight="1">
      <c r="A42" s="472"/>
      <c r="B42" s="484"/>
      <c r="C42" s="484"/>
      <c r="D42" s="498"/>
      <c r="E42" s="473"/>
      <c r="F42" s="499">
        <v>44448</v>
      </c>
      <c r="G42" s="473">
        <v>200</v>
      </c>
      <c r="H42" s="473" t="s">
        <v>16</v>
      </c>
      <c r="I42" s="473" t="s">
        <v>599</v>
      </c>
      <c r="J42" s="473"/>
      <c r="K42" s="473" t="s">
        <v>540</v>
      </c>
      <c r="L42" s="473" t="s">
        <v>600</v>
      </c>
      <c r="M42" s="473" t="s">
        <v>558</v>
      </c>
      <c r="N42" s="473" t="s">
        <v>536</v>
      </c>
      <c r="O42" s="473"/>
      <c r="P42" s="473"/>
      <c r="Q42" s="473" t="s">
        <v>601</v>
      </c>
      <c r="R42" s="500" t="s">
        <v>602</v>
      </c>
    </row>
    <row r="43" spans="1:18" s="479" customFormat="1" ht="14.15" customHeight="1">
      <c r="A43" s="481"/>
      <c r="B43" s="486" t="s">
        <v>603</v>
      </c>
      <c r="C43" s="486">
        <v>500</v>
      </c>
      <c r="D43" s="515" t="s">
        <v>604</v>
      </c>
      <c r="E43" s="516">
        <f>SUM(G43:G44)</f>
        <v>465</v>
      </c>
      <c r="F43" s="511">
        <v>44391</v>
      </c>
      <c r="G43" s="490">
        <v>90</v>
      </c>
      <c r="H43" s="490" t="s">
        <v>15</v>
      </c>
      <c r="I43" s="490" t="s">
        <v>605</v>
      </c>
      <c r="J43" s="490"/>
      <c r="K43" s="490" t="s">
        <v>524</v>
      </c>
      <c r="L43" s="490" t="s">
        <v>606</v>
      </c>
      <c r="M43" s="490" t="s">
        <v>558</v>
      </c>
      <c r="N43" s="490"/>
      <c r="O43" s="490" t="s">
        <v>547</v>
      </c>
      <c r="P43" s="490"/>
      <c r="Q43" s="490" t="s">
        <v>607</v>
      </c>
      <c r="R43" s="490" t="s">
        <v>608</v>
      </c>
    </row>
    <row r="44" spans="1:18" s="471" customFormat="1" ht="14.15" customHeight="1">
      <c r="A44" s="472"/>
      <c r="B44" s="484"/>
      <c r="C44" s="484"/>
      <c r="D44" s="498"/>
      <c r="E44" s="473"/>
      <c r="F44" s="499">
        <v>44376</v>
      </c>
      <c r="G44" s="473">
        <v>375</v>
      </c>
      <c r="H44" s="473" t="s">
        <v>609</v>
      </c>
      <c r="I44" s="473" t="s">
        <v>599</v>
      </c>
      <c r="J44" s="473"/>
      <c r="K44" s="473" t="s">
        <v>556</v>
      </c>
      <c r="L44" s="473" t="s">
        <v>610</v>
      </c>
      <c r="M44" s="473"/>
      <c r="N44" s="473"/>
      <c r="O44" s="473"/>
      <c r="P44" s="473"/>
      <c r="Q44" s="473" t="s">
        <v>611</v>
      </c>
      <c r="R44" s="500" t="s">
        <v>612</v>
      </c>
    </row>
    <row r="45" spans="1:18" s="471" customFormat="1" ht="14.15" customHeight="1">
      <c r="A45" s="474"/>
      <c r="B45" s="485" t="s">
        <v>613</v>
      </c>
      <c r="C45" s="485">
        <v>500</v>
      </c>
      <c r="D45" s="501" t="s">
        <v>614</v>
      </c>
      <c r="E45" s="475">
        <f>G45</f>
        <v>130</v>
      </c>
      <c r="F45" s="502">
        <v>44313</v>
      </c>
      <c r="G45" s="475">
        <v>130</v>
      </c>
      <c r="H45" s="475" t="s">
        <v>14</v>
      </c>
      <c r="I45" s="475" t="s">
        <v>615</v>
      </c>
      <c r="J45" s="475"/>
      <c r="K45" s="475" t="s">
        <v>389</v>
      </c>
      <c r="L45" s="475" t="s">
        <v>616</v>
      </c>
      <c r="M45" s="475" t="s">
        <v>517</v>
      </c>
      <c r="N45" s="475" t="s">
        <v>536</v>
      </c>
      <c r="O45" s="475"/>
      <c r="P45" s="475"/>
      <c r="Q45" s="475" t="s">
        <v>617</v>
      </c>
      <c r="R45" s="503" t="s">
        <v>618</v>
      </c>
    </row>
    <row r="46" spans="1:18" s="471" customFormat="1" ht="14.15" customHeight="1">
      <c r="A46" s="474"/>
      <c r="B46" s="485"/>
      <c r="C46" s="485"/>
      <c r="D46" s="501" t="s">
        <v>619</v>
      </c>
      <c r="E46" s="475">
        <v>0</v>
      </c>
      <c r="F46" s="502"/>
      <c r="G46" s="475"/>
      <c r="H46" s="475" t="s">
        <v>17</v>
      </c>
      <c r="I46" s="475"/>
      <c r="J46" s="475"/>
      <c r="K46" s="475"/>
      <c r="L46" s="475"/>
      <c r="M46" s="475"/>
      <c r="N46" s="475"/>
      <c r="O46" s="475"/>
      <c r="P46" s="475"/>
      <c r="Q46" s="475"/>
      <c r="R46" s="503"/>
    </row>
    <row r="47" spans="1:18" s="471" customFormat="1" ht="14.15" customHeight="1">
      <c r="A47" s="474"/>
      <c r="B47" s="485"/>
      <c r="C47" s="485"/>
      <c r="D47" s="501" t="s">
        <v>620</v>
      </c>
      <c r="E47" s="475">
        <f>G47</f>
        <v>100</v>
      </c>
      <c r="F47" s="502">
        <v>44125</v>
      </c>
      <c r="G47" s="475">
        <v>100</v>
      </c>
      <c r="H47" s="475" t="s">
        <v>16</v>
      </c>
      <c r="I47" s="475" t="s">
        <v>621</v>
      </c>
      <c r="J47" s="475"/>
      <c r="K47" s="475" t="s">
        <v>380</v>
      </c>
      <c r="L47" s="475" t="s">
        <v>622</v>
      </c>
      <c r="M47" s="475" t="s">
        <v>558</v>
      </c>
      <c r="N47" s="475" t="s">
        <v>623</v>
      </c>
      <c r="O47" s="475"/>
      <c r="P47" s="475"/>
      <c r="Q47" s="475" t="s">
        <v>624</v>
      </c>
      <c r="R47" s="503" t="s">
        <v>625</v>
      </c>
    </row>
    <row r="48" spans="1:18" s="471" customFormat="1" ht="14.15" customHeight="1">
      <c r="A48" s="474"/>
      <c r="B48" s="485"/>
      <c r="C48" s="485"/>
      <c r="D48" s="501" t="s">
        <v>626</v>
      </c>
      <c r="E48" s="475">
        <f>G48</f>
        <v>190</v>
      </c>
      <c r="F48" s="502">
        <v>43979</v>
      </c>
      <c r="G48" s="475">
        <v>190</v>
      </c>
      <c r="H48" s="475" t="s">
        <v>15</v>
      </c>
      <c r="I48" s="475" t="s">
        <v>627</v>
      </c>
      <c r="J48" s="475"/>
      <c r="K48" s="475" t="s">
        <v>376</v>
      </c>
      <c r="L48" s="475" t="s">
        <v>628</v>
      </c>
      <c r="M48" s="475" t="s">
        <v>629</v>
      </c>
      <c r="N48" s="475" t="s">
        <v>630</v>
      </c>
      <c r="O48" s="475"/>
      <c r="P48" s="475"/>
      <c r="Q48" s="475" t="s">
        <v>631</v>
      </c>
      <c r="R48" s="503" t="s">
        <v>632</v>
      </c>
    </row>
    <row r="49" spans="1:18" ht="14.15" customHeight="1">
      <c r="A49" s="319"/>
      <c r="B49" s="488"/>
      <c r="C49" s="488"/>
      <c r="D49" s="320"/>
      <c r="E49" s="321"/>
      <c r="F49" s="320"/>
      <c r="G49" s="320"/>
      <c r="H49" s="320"/>
      <c r="I49" s="320"/>
      <c r="J49" s="320"/>
      <c r="K49" s="320"/>
      <c r="L49" s="320"/>
      <c r="M49" s="320"/>
      <c r="N49" s="320"/>
      <c r="O49" s="320"/>
      <c r="P49" s="320"/>
      <c r="Q49" s="320"/>
      <c r="R49" s="512"/>
    </row>
    <row r="50" spans="1:18" ht="14.15" customHeight="1"/>
  </sheetData>
  <mergeCells count="2">
    <mergeCell ref="B29:B30"/>
    <mergeCell ref="B22:B23"/>
  </mergeCells>
  <hyperlinks>
    <hyperlink ref="R32" r:id="rId1" xr:uid="{37745B50-C74C-472E-B1BF-C5890F1F488B}"/>
    <hyperlink ref="R35" r:id="rId2" xr:uid="{1DE680D5-B381-4BD1-8E58-C815D7148342}"/>
    <hyperlink ref="R15" r:id="rId3" xr:uid="{7A0CFCFD-FE6C-4F50-9570-905A70F4DFAF}"/>
    <hyperlink ref="R16" r:id="rId4" display="https://www.epirocgroup.com/en/media/corporate-press-releases/2024/20240116-epiroc-wins-its-largest-order-ever-for-digital-solutions-to-strengthen-mining-safety-and-productivity-in-chile" xr:uid="{7EE441BC-51FC-45BC-BFE3-CCB72170AE52}"/>
    <hyperlink ref="A2" location="'START PAGE'!A1" display="Back to start page" xr:uid="{3100792C-7FF8-4B0F-BDD3-A9F288950E3E}"/>
  </hyperlinks>
  <pageMargins left="0.7" right="0.7" top="0.75" bottom="0.75" header="0.3" footer="0.3"/>
  <pageSetup paperSize="9" scale="31" fitToHeight="0"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D00"/>
    <pageSetUpPr fitToPage="1"/>
  </sheetPr>
  <dimension ref="A1:L84"/>
  <sheetViews>
    <sheetView zoomScale="90" zoomScaleNormal="90" workbookViewId="0"/>
  </sheetViews>
  <sheetFormatPr defaultRowHeight="13.4" customHeight="1"/>
  <cols>
    <col min="1" max="1" width="25.08203125" customWidth="1"/>
    <col min="2" max="2" width="5.08203125" bestFit="1" customWidth="1"/>
    <col min="3" max="4" width="7.58203125" bestFit="1" customWidth="1"/>
    <col min="5" max="5" width="10.08203125" customWidth="1"/>
    <col min="6" max="6" width="10.5" customWidth="1"/>
    <col min="7" max="7" width="6.5" bestFit="1" customWidth="1"/>
    <col min="8" max="8" width="11.08203125" customWidth="1"/>
    <col min="9" max="9" width="8.58203125" style="861" customWidth="1"/>
    <col min="10" max="10" width="11" customWidth="1"/>
    <col min="13" max="13" width="11.58203125" bestFit="1" customWidth="1"/>
    <col min="17" max="17" width="10.33203125" bestFit="1" customWidth="1"/>
    <col min="18" max="18" width="20.83203125" bestFit="1" customWidth="1"/>
    <col min="20" max="20" width="21.33203125" customWidth="1"/>
  </cols>
  <sheetData>
    <row r="1" spans="1:10" ht="16" thickBot="1">
      <c r="A1" s="59" t="s">
        <v>265</v>
      </c>
      <c r="B1" s="50"/>
      <c r="C1" s="50"/>
      <c r="D1" s="50"/>
      <c r="E1" s="50"/>
      <c r="F1" s="50"/>
      <c r="G1" s="50"/>
      <c r="H1" s="50"/>
      <c r="I1" s="847"/>
      <c r="J1" s="218"/>
    </row>
    <row r="2" spans="1:10" ht="13.4" customHeight="1" thickTop="1" thickBot="1">
      <c r="A2" s="823" t="s">
        <v>198</v>
      </c>
      <c r="B2" s="109"/>
      <c r="C2" s="109"/>
      <c r="D2" s="109"/>
      <c r="E2" s="448"/>
      <c r="F2" s="448"/>
      <c r="G2" s="448"/>
      <c r="H2" s="448"/>
      <c r="I2" s="848"/>
      <c r="J2" s="448"/>
    </row>
    <row r="3" spans="1:10" ht="13.4" customHeight="1" thickTop="1">
      <c r="A3" s="323" t="s">
        <v>450</v>
      </c>
      <c r="B3" s="324">
        <v>2018</v>
      </c>
      <c r="C3" s="324">
        <v>2019</v>
      </c>
      <c r="D3" s="324">
        <v>2020</v>
      </c>
      <c r="E3" s="324">
        <v>2021</v>
      </c>
      <c r="F3" s="324">
        <v>2022</v>
      </c>
      <c r="G3" s="324"/>
      <c r="H3" s="324">
        <v>2023</v>
      </c>
      <c r="I3" s="849" t="s">
        <v>1005</v>
      </c>
      <c r="J3" s="324">
        <v>2024</v>
      </c>
    </row>
    <row r="4" spans="1:10" ht="13.4" customHeight="1">
      <c r="A4" s="325" t="s">
        <v>266</v>
      </c>
      <c r="B4" s="326">
        <v>27</v>
      </c>
      <c r="C4" s="326">
        <v>24</v>
      </c>
      <c r="D4" s="326">
        <v>24</v>
      </c>
      <c r="E4" s="326">
        <v>23</v>
      </c>
      <c r="F4" s="326">
        <v>23</v>
      </c>
      <c r="G4" s="326"/>
      <c r="H4" s="326">
        <v>17</v>
      </c>
      <c r="I4" s="852">
        <v>19</v>
      </c>
      <c r="J4" s="326">
        <v>22</v>
      </c>
    </row>
    <row r="5" spans="1:10" ht="13.4" customHeight="1">
      <c r="A5" s="627" t="s">
        <v>840</v>
      </c>
      <c r="B5" s="878">
        <f>100-B4</f>
        <v>73</v>
      </c>
      <c r="C5" s="878">
        <f t="shared" ref="C5:H5" si="0">100-C4</f>
        <v>76</v>
      </c>
      <c r="D5" s="878">
        <f t="shared" si="0"/>
        <v>76</v>
      </c>
      <c r="E5" s="878">
        <f t="shared" si="0"/>
        <v>77</v>
      </c>
      <c r="F5" s="878">
        <f t="shared" si="0"/>
        <v>77</v>
      </c>
      <c r="G5" s="878"/>
      <c r="H5" s="878">
        <f t="shared" si="0"/>
        <v>83</v>
      </c>
      <c r="I5" s="879">
        <f>100-I4</f>
        <v>81</v>
      </c>
      <c r="J5" s="878">
        <f t="shared" ref="J5" si="1">100-J4</f>
        <v>78</v>
      </c>
    </row>
    <row r="6" spans="1:10" ht="13.4" customHeight="1">
      <c r="A6" s="325" t="s">
        <v>268</v>
      </c>
      <c r="B6" s="326">
        <v>17</v>
      </c>
      <c r="C6" s="326">
        <v>16</v>
      </c>
      <c r="D6" s="326">
        <v>21</v>
      </c>
      <c r="E6" s="326">
        <v>24.1</v>
      </c>
      <c r="F6" s="326">
        <v>27</v>
      </c>
      <c r="G6" s="326"/>
      <c r="H6" s="326">
        <v>29.5</v>
      </c>
      <c r="I6" s="852">
        <v>29</v>
      </c>
      <c r="J6" s="326">
        <v>25.74</v>
      </c>
    </row>
    <row r="7" spans="1:10" ht="13.4" customHeight="1">
      <c r="A7" s="325" t="s">
        <v>267</v>
      </c>
      <c r="B7" s="326">
        <v>21</v>
      </c>
      <c r="C7" s="326">
        <v>19</v>
      </c>
      <c r="D7" s="326">
        <v>23</v>
      </c>
      <c r="E7" s="326">
        <v>21.2</v>
      </c>
      <c r="F7" s="326">
        <v>19</v>
      </c>
      <c r="G7" s="326"/>
      <c r="H7" s="326">
        <v>19.2</v>
      </c>
      <c r="I7" s="852">
        <v>20</v>
      </c>
      <c r="J7" s="326">
        <v>21.06</v>
      </c>
    </row>
    <row r="8" spans="1:10" ht="13.4" customHeight="1">
      <c r="A8" s="325" t="s">
        <v>270</v>
      </c>
      <c r="B8" s="326">
        <v>5</v>
      </c>
      <c r="C8" s="326">
        <v>7</v>
      </c>
      <c r="D8" s="326">
        <v>11</v>
      </c>
      <c r="E8" s="326">
        <v>12.2</v>
      </c>
      <c r="F8" s="326">
        <v>11</v>
      </c>
      <c r="G8" s="326"/>
      <c r="H8" s="326">
        <v>13.1</v>
      </c>
      <c r="I8" s="852">
        <v>12</v>
      </c>
      <c r="J8" s="326">
        <v>14.04</v>
      </c>
    </row>
    <row r="9" spans="1:10" ht="13.4" customHeight="1">
      <c r="A9" s="325" t="s">
        <v>271</v>
      </c>
      <c r="B9" s="326">
        <v>4</v>
      </c>
      <c r="C9" s="326">
        <v>6</v>
      </c>
      <c r="D9" s="326">
        <v>2</v>
      </c>
      <c r="E9" s="326">
        <v>4.8</v>
      </c>
      <c r="F9" s="326">
        <v>4</v>
      </c>
      <c r="G9" s="326"/>
      <c r="H9" s="326">
        <v>4</v>
      </c>
      <c r="I9" s="852">
        <v>1</v>
      </c>
      <c r="J9" s="326">
        <v>4.68</v>
      </c>
    </row>
    <row r="10" spans="1:10" ht="13.4" customHeight="1">
      <c r="A10" s="325" t="s">
        <v>273</v>
      </c>
      <c r="B10" s="326">
        <v>2</v>
      </c>
      <c r="C10" s="326">
        <v>2</v>
      </c>
      <c r="D10" s="326">
        <v>3</v>
      </c>
      <c r="E10" s="326">
        <v>2.8</v>
      </c>
      <c r="F10" s="326">
        <v>4</v>
      </c>
      <c r="G10" s="326"/>
      <c r="H10" s="326">
        <v>4.9000000000000004</v>
      </c>
      <c r="I10" s="852">
        <v>4</v>
      </c>
      <c r="J10" s="326">
        <v>3.9</v>
      </c>
    </row>
    <row r="11" spans="1:10" ht="13.4" customHeight="1">
      <c r="A11" s="325" t="s">
        <v>359</v>
      </c>
      <c r="B11" s="877" t="s">
        <v>113</v>
      </c>
      <c r="C11" s="877" t="s">
        <v>113</v>
      </c>
      <c r="D11" s="326">
        <v>4</v>
      </c>
      <c r="E11" s="326">
        <v>2.9</v>
      </c>
      <c r="F11" s="326">
        <v>3</v>
      </c>
      <c r="G11" s="326"/>
      <c r="H11" s="326">
        <v>1.3</v>
      </c>
      <c r="I11" s="852">
        <v>3</v>
      </c>
      <c r="J11" s="326">
        <v>2.34</v>
      </c>
    </row>
    <row r="12" spans="1:10" ht="13.4" customHeight="1">
      <c r="A12" s="325" t="s">
        <v>272</v>
      </c>
      <c r="B12" s="326">
        <v>3</v>
      </c>
      <c r="C12" s="326">
        <v>3</v>
      </c>
      <c r="D12" s="326">
        <v>3</v>
      </c>
      <c r="E12" s="326">
        <v>4.5999999999999996</v>
      </c>
      <c r="F12" s="326">
        <v>3</v>
      </c>
      <c r="G12" s="326"/>
      <c r="H12" s="326">
        <v>2</v>
      </c>
      <c r="I12" s="852">
        <v>2</v>
      </c>
      <c r="J12" s="326">
        <v>1.56</v>
      </c>
    </row>
    <row r="13" spans="1:10" ht="13.4" customHeight="1">
      <c r="A13" s="325" t="s">
        <v>274</v>
      </c>
      <c r="B13" s="326">
        <v>12</v>
      </c>
      <c r="C13" s="326">
        <v>14</v>
      </c>
      <c r="D13" s="326">
        <v>9</v>
      </c>
      <c r="E13" s="326">
        <v>4.4000000000000004</v>
      </c>
      <c r="F13" s="326">
        <v>6</v>
      </c>
      <c r="G13" s="326"/>
      <c r="H13" s="326">
        <f>H5-SUM(H6:H12)</f>
        <v>8.9999999999999858</v>
      </c>
      <c r="I13" s="852">
        <v>10</v>
      </c>
      <c r="J13" s="326">
        <v>4.68</v>
      </c>
    </row>
    <row r="14" spans="1:10" ht="13.4" customHeight="1">
      <c r="A14" s="325" t="s">
        <v>269</v>
      </c>
      <c r="B14" s="326">
        <v>9</v>
      </c>
      <c r="C14" s="326">
        <v>9</v>
      </c>
      <c r="D14" s="877" t="s">
        <v>113</v>
      </c>
      <c r="E14" s="877" t="s">
        <v>113</v>
      </c>
      <c r="F14" s="877" t="s">
        <v>113</v>
      </c>
      <c r="G14" s="877"/>
      <c r="H14" s="326"/>
      <c r="I14" s="850"/>
      <c r="J14" s="416"/>
    </row>
    <row r="15" spans="1:10" ht="13.4" customHeight="1">
      <c r="A15" s="327" t="s">
        <v>275</v>
      </c>
      <c r="B15" s="440">
        <v>100</v>
      </c>
      <c r="C15" s="440">
        <v>100</v>
      </c>
      <c r="D15" s="440">
        <v>100</v>
      </c>
      <c r="E15" s="440">
        <v>100</v>
      </c>
      <c r="F15" s="440">
        <v>100</v>
      </c>
      <c r="G15" s="440"/>
      <c r="H15" s="440">
        <v>100</v>
      </c>
      <c r="I15" s="851">
        <f>SUM(I4:I14)</f>
        <v>181</v>
      </c>
      <c r="J15" s="440">
        <f>SUM(J6:J13)+J4</f>
        <v>100</v>
      </c>
    </row>
    <row r="16" spans="1:10" ht="13.4" customHeight="1">
      <c r="A16" s="325"/>
      <c r="B16" s="326"/>
      <c r="C16" s="326"/>
      <c r="D16" s="326"/>
      <c r="E16" s="326"/>
      <c r="F16" s="326"/>
      <c r="G16" s="326"/>
      <c r="H16" s="326"/>
      <c r="I16" s="852"/>
      <c r="J16" s="326"/>
    </row>
    <row r="17" spans="1:10" ht="13.4" customHeight="1">
      <c r="A17" s="328"/>
      <c r="B17" s="326"/>
      <c r="C17" s="326"/>
      <c r="D17" s="326"/>
      <c r="E17" s="326"/>
      <c r="F17" s="326"/>
      <c r="G17" s="326"/>
      <c r="H17" s="326"/>
      <c r="I17" s="852"/>
      <c r="J17" s="326"/>
    </row>
    <row r="18" spans="1:10" ht="13.4" customHeight="1">
      <c r="A18" s="323" t="s">
        <v>371</v>
      </c>
      <c r="B18" s="324">
        <v>2018</v>
      </c>
      <c r="C18" s="324">
        <v>2019</v>
      </c>
      <c r="D18" s="324">
        <v>2020</v>
      </c>
      <c r="E18" s="324">
        <v>2021</v>
      </c>
      <c r="F18" s="324">
        <v>2022</v>
      </c>
      <c r="G18" s="324"/>
      <c r="H18" s="324">
        <v>2023</v>
      </c>
      <c r="I18" s="849" t="str">
        <f>I3</f>
        <v>Q2 2024</v>
      </c>
      <c r="J18" s="324">
        <v>2024</v>
      </c>
    </row>
    <row r="19" spans="1:10" ht="13.4" customHeight="1">
      <c r="A19" s="328" t="s">
        <v>372</v>
      </c>
      <c r="B19" s="326"/>
      <c r="C19" s="416">
        <v>7</v>
      </c>
      <c r="D19" s="416">
        <v>7.2</v>
      </c>
      <c r="E19" s="416">
        <v>7.7</v>
      </c>
      <c r="F19" s="416">
        <v>8</v>
      </c>
      <c r="G19" s="416"/>
      <c r="H19" s="416">
        <v>8.1999999999999993</v>
      </c>
      <c r="I19" s="850">
        <v>8.4</v>
      </c>
      <c r="J19" s="416">
        <v>8.4</v>
      </c>
    </row>
    <row r="20" spans="1:10" ht="13.4" customHeight="1">
      <c r="A20" s="328" t="s">
        <v>373</v>
      </c>
      <c r="B20" s="326"/>
      <c r="C20" s="416">
        <v>24</v>
      </c>
      <c r="D20" s="416">
        <v>27</v>
      </c>
      <c r="E20" s="416">
        <v>31</v>
      </c>
      <c r="F20" s="416">
        <v>35</v>
      </c>
      <c r="G20" s="416"/>
      <c r="H20" s="416">
        <v>37</v>
      </c>
      <c r="I20" s="850">
        <v>38</v>
      </c>
      <c r="J20" s="416">
        <v>38</v>
      </c>
    </row>
    <row r="21" spans="1:10" ht="13.4" customHeight="1">
      <c r="A21" s="216"/>
      <c r="B21" s="216"/>
      <c r="C21" s="216"/>
      <c r="D21" s="216"/>
      <c r="E21" s="216"/>
      <c r="F21" s="216"/>
      <c r="G21" s="216"/>
      <c r="H21" s="216"/>
      <c r="I21" s="853"/>
      <c r="J21" s="216"/>
    </row>
    <row r="22" spans="1:10" ht="13.4" customHeight="1">
      <c r="A22" s="323" t="s">
        <v>917</v>
      </c>
      <c r="B22" s="324">
        <v>2018</v>
      </c>
      <c r="C22" s="324">
        <v>2019</v>
      </c>
      <c r="D22" s="324">
        <v>2020</v>
      </c>
      <c r="E22" s="324">
        <v>2021</v>
      </c>
      <c r="F22" s="324">
        <v>2022</v>
      </c>
      <c r="G22" s="324"/>
      <c r="H22" s="324">
        <v>2023</v>
      </c>
      <c r="I22" s="849"/>
      <c r="J22" s="324">
        <v>2024</v>
      </c>
    </row>
    <row r="23" spans="1:10" ht="13.4" customHeight="1">
      <c r="A23" s="325" t="s">
        <v>465</v>
      </c>
      <c r="B23" s="329"/>
      <c r="C23" s="329"/>
      <c r="D23" s="329"/>
      <c r="E23" s="329">
        <v>0.5</v>
      </c>
      <c r="F23" s="329">
        <v>0.51</v>
      </c>
      <c r="G23" s="329"/>
      <c r="H23" s="329">
        <v>0.5</v>
      </c>
      <c r="I23" s="854"/>
      <c r="J23" s="329">
        <v>0.45</v>
      </c>
    </row>
    <row r="24" spans="1:10" ht="13.4" customHeight="1">
      <c r="A24" s="325" t="s">
        <v>466</v>
      </c>
      <c r="B24" s="329"/>
      <c r="C24" s="329"/>
      <c r="D24" s="329"/>
      <c r="E24" s="329">
        <v>0.5</v>
      </c>
      <c r="F24" s="329">
        <v>0.49</v>
      </c>
      <c r="G24" s="329"/>
      <c r="H24" s="329">
        <v>0.5</v>
      </c>
      <c r="I24" s="854"/>
      <c r="J24" s="329">
        <v>0.55000000000000004</v>
      </c>
    </row>
    <row r="25" spans="1:10" ht="13.4" customHeight="1">
      <c r="A25" s="330" t="s">
        <v>463</v>
      </c>
      <c r="B25" s="329"/>
      <c r="C25" s="329"/>
      <c r="D25" s="329"/>
      <c r="E25" s="329">
        <v>0.87</v>
      </c>
      <c r="F25" s="329">
        <v>0.87</v>
      </c>
      <c r="G25" s="329"/>
      <c r="H25" s="329">
        <v>0.89</v>
      </c>
      <c r="I25" s="854">
        <v>0.91</v>
      </c>
      <c r="J25" s="329">
        <v>0.84</v>
      </c>
    </row>
    <row r="26" spans="1:10" ht="13.4" customHeight="1">
      <c r="A26" s="330"/>
      <c r="B26" s="329"/>
      <c r="C26" s="329"/>
      <c r="D26" s="329"/>
      <c r="E26" s="329"/>
      <c r="F26" s="329"/>
      <c r="G26" s="329"/>
      <c r="H26" s="329"/>
      <c r="I26" s="854"/>
      <c r="J26" s="329"/>
    </row>
    <row r="27" spans="1:10" ht="13.4" customHeight="1">
      <c r="A27" s="323" t="s">
        <v>918</v>
      </c>
      <c r="B27" s="324"/>
      <c r="C27" s="324"/>
      <c r="D27" s="324"/>
      <c r="E27" s="324"/>
      <c r="F27" s="324"/>
      <c r="G27" s="324"/>
      <c r="H27" s="324"/>
      <c r="I27" s="849"/>
      <c r="J27" s="324"/>
    </row>
    <row r="28" spans="1:10" ht="13.4" customHeight="1">
      <c r="A28" s="325" t="s">
        <v>913</v>
      </c>
      <c r="B28" s="329"/>
      <c r="C28" s="462">
        <v>3400</v>
      </c>
      <c r="D28" s="462">
        <v>4300</v>
      </c>
      <c r="E28" s="462">
        <v>6000</v>
      </c>
      <c r="F28" s="462">
        <v>7000</v>
      </c>
      <c r="G28" s="462"/>
      <c r="H28" s="462">
        <v>9500</v>
      </c>
      <c r="I28" s="855"/>
      <c r="J28" s="855"/>
    </row>
    <row r="29" spans="1:10" ht="13.4" customHeight="1">
      <c r="A29" s="325" t="s">
        <v>914</v>
      </c>
      <c r="B29" s="329"/>
      <c r="C29" s="462"/>
      <c r="D29" s="462"/>
      <c r="E29" s="462"/>
      <c r="F29" s="462">
        <v>1000</v>
      </c>
      <c r="G29" s="640" t="s">
        <v>919</v>
      </c>
      <c r="H29" s="462">
        <v>1100</v>
      </c>
      <c r="I29" s="855">
        <v>1200</v>
      </c>
      <c r="J29" s="462">
        <v>1350</v>
      </c>
    </row>
    <row r="30" spans="1:10" ht="13.4" customHeight="1">
      <c r="A30" s="325" t="s">
        <v>915</v>
      </c>
      <c r="B30" s="329"/>
      <c r="C30" s="462"/>
      <c r="D30" s="462"/>
      <c r="E30" s="462"/>
      <c r="F30" s="462">
        <v>750</v>
      </c>
      <c r="G30" s="640" t="str">
        <f>G29</f>
        <v>H12022</v>
      </c>
      <c r="H30" s="462">
        <v>1000</v>
      </c>
      <c r="I30" s="855">
        <v>1100</v>
      </c>
      <c r="J30" s="462">
        <v>1200</v>
      </c>
    </row>
    <row r="31" spans="1:10" ht="13.4" customHeight="1">
      <c r="A31" s="325" t="s">
        <v>916</v>
      </c>
      <c r="B31" s="329"/>
      <c r="C31" s="462"/>
      <c r="D31" s="462"/>
      <c r="E31" s="462"/>
      <c r="F31" s="462">
        <v>650</v>
      </c>
      <c r="G31" s="640" t="str">
        <f t="shared" ref="G31:G32" si="2">G30</f>
        <v>H12022</v>
      </c>
      <c r="H31" s="462">
        <v>750</v>
      </c>
      <c r="I31" s="855">
        <v>850</v>
      </c>
      <c r="J31" s="462">
        <v>900</v>
      </c>
    </row>
    <row r="32" spans="1:10" ht="13.4" customHeight="1">
      <c r="A32" s="325" t="s">
        <v>933</v>
      </c>
      <c r="B32" s="329"/>
      <c r="C32" s="462"/>
      <c r="D32" s="462"/>
      <c r="E32" s="462"/>
      <c r="F32" s="462">
        <f>SUM(F29:F31)</f>
        <v>2400</v>
      </c>
      <c r="G32" s="640" t="str">
        <f t="shared" si="2"/>
        <v>H12022</v>
      </c>
      <c r="H32" s="462">
        <f>SUM(H29:H31)</f>
        <v>2850</v>
      </c>
      <c r="I32" s="855">
        <v>3100</v>
      </c>
      <c r="J32" s="462">
        <f>SUM(J29:J31)</f>
        <v>3450</v>
      </c>
    </row>
    <row r="33" spans="1:10" ht="13.4" customHeight="1">
      <c r="A33" s="325" t="s">
        <v>1007</v>
      </c>
      <c r="B33" s="329"/>
      <c r="C33" s="462"/>
      <c r="D33" s="462"/>
      <c r="E33" s="462"/>
      <c r="F33" s="462"/>
      <c r="G33" s="640"/>
      <c r="H33" s="462"/>
      <c r="I33" s="855" t="s">
        <v>1009</v>
      </c>
      <c r="J33" s="462" t="s">
        <v>1009</v>
      </c>
    </row>
    <row r="34" spans="1:10" ht="13.4" customHeight="1">
      <c r="A34" s="325" t="s">
        <v>1008</v>
      </c>
      <c r="B34" s="329"/>
      <c r="C34" s="462"/>
      <c r="D34" s="462"/>
      <c r="E34" s="462"/>
      <c r="F34" s="462"/>
      <c r="G34" s="640"/>
      <c r="H34" s="462"/>
      <c r="I34" s="855" t="s">
        <v>1010</v>
      </c>
      <c r="J34" s="462" t="s">
        <v>1010</v>
      </c>
    </row>
    <row r="35" spans="1:10" ht="13.4" customHeight="1">
      <c r="A35" s="325" t="s">
        <v>1011</v>
      </c>
      <c r="B35" s="329"/>
      <c r="C35" s="462"/>
      <c r="D35" s="462"/>
      <c r="E35" s="462"/>
      <c r="F35" s="462"/>
      <c r="G35" s="640"/>
      <c r="H35" s="462"/>
      <c r="I35" s="855" t="s">
        <v>1012</v>
      </c>
      <c r="J35" s="462" t="s">
        <v>1012</v>
      </c>
    </row>
    <row r="36" spans="1:10" ht="13.4" customHeight="1">
      <c r="A36" s="325" t="s">
        <v>1006</v>
      </c>
      <c r="B36" s="329"/>
      <c r="C36" s="462"/>
      <c r="D36" s="462"/>
      <c r="E36" s="462"/>
      <c r="F36" s="641">
        <v>0.01</v>
      </c>
      <c r="G36" s="640" t="str">
        <f>G32</f>
        <v>H12022</v>
      </c>
      <c r="H36" s="863">
        <v>3.3000000000000002E-2</v>
      </c>
      <c r="I36" s="864">
        <v>0.04</v>
      </c>
      <c r="J36" s="863">
        <v>4.2000000000000003E-2</v>
      </c>
    </row>
    <row r="37" spans="1:10" ht="13.4" customHeight="1">
      <c r="A37" s="325" t="s">
        <v>1013</v>
      </c>
      <c r="B37" s="329"/>
      <c r="C37" s="462"/>
      <c r="D37" s="462"/>
      <c r="E37" s="462"/>
      <c r="F37" s="641"/>
      <c r="G37" s="640"/>
      <c r="H37" s="641"/>
      <c r="I37" s="857" t="s">
        <v>1014</v>
      </c>
      <c r="J37" s="641" t="s">
        <v>1014</v>
      </c>
    </row>
    <row r="38" spans="1:10" ht="13.4" customHeight="1">
      <c r="A38" s="325" t="s">
        <v>1057</v>
      </c>
      <c r="B38" s="329"/>
      <c r="C38" s="462"/>
      <c r="D38" s="462"/>
      <c r="E38" s="462"/>
      <c r="F38" s="462">
        <v>25</v>
      </c>
      <c r="G38" s="640" t="str">
        <f>G36</f>
        <v>H12022</v>
      </c>
      <c r="H38" s="462">
        <v>32</v>
      </c>
      <c r="I38" s="855">
        <v>34</v>
      </c>
      <c r="J38" s="462"/>
    </row>
    <row r="39" spans="1:10" ht="13.4" customHeight="1">
      <c r="A39" s="325" t="s">
        <v>1058</v>
      </c>
      <c r="B39" s="329"/>
      <c r="C39" s="462"/>
      <c r="D39" s="462"/>
      <c r="E39" s="462"/>
      <c r="F39" s="462"/>
      <c r="G39" s="640"/>
      <c r="H39" s="462"/>
      <c r="I39" s="855"/>
      <c r="J39" s="462">
        <v>39</v>
      </c>
    </row>
    <row r="40" spans="1:10" ht="13.4" customHeight="1">
      <c r="A40" s="325" t="s">
        <v>1059</v>
      </c>
      <c r="B40" s="329"/>
      <c r="C40" s="462"/>
      <c r="D40" s="462"/>
      <c r="E40" s="462"/>
      <c r="F40" s="462">
        <v>9</v>
      </c>
      <c r="G40" s="640" t="str">
        <f>G38</f>
        <v>H12022</v>
      </c>
      <c r="H40" s="462">
        <v>11</v>
      </c>
      <c r="I40" s="855">
        <v>12</v>
      </c>
      <c r="J40" s="641">
        <v>0.28000000000000003</v>
      </c>
    </row>
    <row r="41" spans="1:10" ht="13.4" customHeight="1">
      <c r="A41" s="325" t="s">
        <v>1015</v>
      </c>
      <c r="B41" s="329"/>
      <c r="C41" s="462"/>
      <c r="D41" s="462"/>
      <c r="E41" s="462"/>
      <c r="F41" s="462"/>
      <c r="G41" s="640"/>
      <c r="H41" s="462"/>
      <c r="I41" s="856">
        <v>0.61</v>
      </c>
      <c r="J41" s="462"/>
    </row>
    <row r="42" spans="1:10" ht="13.4" customHeight="1">
      <c r="A42" s="216"/>
      <c r="B42" s="216"/>
      <c r="C42" s="216"/>
      <c r="D42" s="216"/>
      <c r="E42" s="216"/>
      <c r="F42" s="216"/>
      <c r="G42" s="216"/>
      <c r="H42" s="216"/>
      <c r="I42" s="853"/>
      <c r="J42" s="216"/>
    </row>
    <row r="43" spans="1:10" ht="13.4" customHeight="1">
      <c r="A43" s="323" t="s">
        <v>935</v>
      </c>
      <c r="B43" s="324"/>
      <c r="C43" s="324"/>
      <c r="D43" s="324"/>
      <c r="E43" s="324"/>
      <c r="F43" s="324"/>
      <c r="G43" s="324"/>
      <c r="H43" s="324"/>
      <c r="I43" s="849"/>
      <c r="J43" s="324"/>
    </row>
    <row r="44" spans="1:10" ht="13.4" customHeight="1">
      <c r="A44" s="325" t="s">
        <v>944</v>
      </c>
      <c r="B44" s="216"/>
      <c r="C44" s="216"/>
      <c r="D44" s="216"/>
      <c r="E44" s="216"/>
      <c r="F44" s="216"/>
      <c r="G44" s="216"/>
      <c r="H44" s="216"/>
      <c r="I44" s="853"/>
      <c r="J44" s="216"/>
    </row>
    <row r="45" spans="1:10" ht="13.4" customHeight="1">
      <c r="A45" s="325" t="s">
        <v>945</v>
      </c>
      <c r="B45" s="216"/>
      <c r="C45" s="216"/>
      <c r="D45" s="216"/>
      <c r="E45" s="216"/>
      <c r="F45" s="216"/>
      <c r="G45" s="216"/>
      <c r="H45" s="216"/>
      <c r="I45" s="853"/>
      <c r="J45" s="216"/>
    </row>
    <row r="46" spans="1:10" ht="13.4" customHeight="1">
      <c r="A46" s="325" t="s">
        <v>936</v>
      </c>
      <c r="B46" s="216"/>
      <c r="C46" s="216"/>
      <c r="D46" s="216"/>
      <c r="E46" s="216"/>
      <c r="F46" s="216"/>
      <c r="G46" s="216"/>
      <c r="H46" s="216"/>
      <c r="I46" s="853"/>
      <c r="J46" s="216"/>
    </row>
    <row r="47" spans="1:10" ht="13.4" customHeight="1">
      <c r="A47" s="325" t="s">
        <v>937</v>
      </c>
      <c r="B47" s="216"/>
      <c r="C47" s="216"/>
      <c r="D47" s="216"/>
      <c r="E47" s="216"/>
      <c r="F47" s="216"/>
      <c r="G47" s="216"/>
      <c r="H47" s="216"/>
      <c r="I47" s="853"/>
      <c r="J47" s="216"/>
    </row>
    <row r="48" spans="1:10" ht="13.4" customHeight="1">
      <c r="A48" s="216"/>
      <c r="B48" s="216"/>
      <c r="C48" s="216"/>
      <c r="D48" s="216"/>
      <c r="E48" s="216"/>
      <c r="F48" s="216"/>
      <c r="G48" s="216"/>
      <c r="H48" s="216"/>
      <c r="I48" s="853"/>
      <c r="J48" s="216"/>
    </row>
    <row r="49" spans="1:12" ht="13.4" customHeight="1">
      <c r="A49" s="323" t="s">
        <v>467</v>
      </c>
      <c r="B49" s="324">
        <f>B22</f>
        <v>2018</v>
      </c>
      <c r="C49" s="324">
        <f>C22</f>
        <v>2019</v>
      </c>
      <c r="D49" s="324">
        <f>D22</f>
        <v>2020</v>
      </c>
      <c r="E49" s="324">
        <f>E22</f>
        <v>2021</v>
      </c>
      <c r="F49" s="324">
        <f>F22</f>
        <v>2022</v>
      </c>
      <c r="G49" s="324"/>
      <c r="H49" s="324">
        <f>H22</f>
        <v>2023</v>
      </c>
      <c r="I49" s="849"/>
      <c r="J49" s="324">
        <v>2024</v>
      </c>
    </row>
    <row r="50" spans="1:12" ht="13.4" customHeight="1">
      <c r="A50" s="325" t="s">
        <v>464</v>
      </c>
      <c r="B50" s="329"/>
      <c r="C50" s="329"/>
      <c r="D50" s="329">
        <v>0.2</v>
      </c>
      <c r="E50" s="329">
        <v>0.17</v>
      </c>
      <c r="F50" s="329">
        <v>0.17</v>
      </c>
      <c r="G50" s="329"/>
      <c r="H50" s="329">
        <v>0.23</v>
      </c>
      <c r="I50" s="854"/>
      <c r="J50" s="329">
        <v>0.2</v>
      </c>
    </row>
    <row r="51" spans="1:12" ht="13.4" customHeight="1">
      <c r="A51" s="325" t="s">
        <v>483</v>
      </c>
      <c r="B51" s="216"/>
      <c r="C51" s="216"/>
      <c r="D51" s="216"/>
      <c r="E51" s="593" t="s">
        <v>482</v>
      </c>
      <c r="F51" s="593" t="s">
        <v>787</v>
      </c>
      <c r="G51" s="593"/>
      <c r="H51" s="642" t="s">
        <v>920</v>
      </c>
      <c r="I51" s="858"/>
      <c r="J51" s="642" t="s">
        <v>787</v>
      </c>
    </row>
    <row r="52" spans="1:12" ht="13.4" customHeight="1">
      <c r="A52" s="325" t="s">
        <v>483</v>
      </c>
      <c r="B52" s="216"/>
      <c r="C52" s="216"/>
      <c r="D52" s="216"/>
      <c r="E52" s="593" t="s">
        <v>468</v>
      </c>
      <c r="F52" s="593" t="s">
        <v>790</v>
      </c>
      <c r="G52" s="593"/>
      <c r="H52" s="642" t="s">
        <v>787</v>
      </c>
      <c r="I52" s="858"/>
      <c r="J52" s="642" t="s">
        <v>921</v>
      </c>
    </row>
    <row r="53" spans="1:12" ht="13.4" customHeight="1">
      <c r="A53" s="325" t="s">
        <v>483</v>
      </c>
      <c r="B53" s="216"/>
      <c r="C53" s="216"/>
      <c r="D53" s="216"/>
      <c r="E53" s="593" t="s">
        <v>469</v>
      </c>
      <c r="F53" s="593" t="s">
        <v>791</v>
      </c>
      <c r="G53" s="593"/>
      <c r="H53" s="642" t="s">
        <v>921</v>
      </c>
      <c r="I53" s="858"/>
      <c r="J53" s="642" t="s">
        <v>922</v>
      </c>
    </row>
    <row r="54" spans="1:12" ht="13.4" customHeight="1">
      <c r="A54" s="325" t="s">
        <v>483</v>
      </c>
      <c r="B54" s="216"/>
      <c r="C54" s="216"/>
      <c r="D54" s="216"/>
      <c r="E54" s="593" t="s">
        <v>470</v>
      </c>
      <c r="F54" s="593" t="s">
        <v>792</v>
      </c>
      <c r="G54" s="593"/>
      <c r="H54" s="642" t="s">
        <v>922</v>
      </c>
      <c r="I54" s="858"/>
      <c r="J54" s="642" t="s">
        <v>923</v>
      </c>
    </row>
    <row r="55" spans="1:12" ht="13.4" customHeight="1">
      <c r="A55" s="325" t="s">
        <v>483</v>
      </c>
      <c r="B55" s="216"/>
      <c r="C55" s="216"/>
      <c r="D55" s="216"/>
      <c r="E55" s="593" t="s">
        <v>471</v>
      </c>
      <c r="F55" s="593" t="s">
        <v>793</v>
      </c>
      <c r="G55" s="593"/>
      <c r="H55" s="642" t="s">
        <v>923</v>
      </c>
      <c r="I55" s="858"/>
      <c r="J55" s="642" t="s">
        <v>974</v>
      </c>
    </row>
    <row r="56" spans="1:12" ht="13.4" customHeight="1">
      <c r="A56" s="325" t="s">
        <v>483</v>
      </c>
      <c r="B56" s="216"/>
      <c r="C56" s="216"/>
      <c r="D56" s="216"/>
      <c r="E56" s="593" t="s">
        <v>472</v>
      </c>
      <c r="F56" s="593" t="s">
        <v>794</v>
      </c>
      <c r="G56" s="593"/>
      <c r="H56" s="642" t="s">
        <v>822</v>
      </c>
      <c r="I56" s="858"/>
      <c r="J56" s="642" t="s">
        <v>1019</v>
      </c>
    </row>
    <row r="57" spans="1:12" ht="13.4" customHeight="1">
      <c r="A57" s="325" t="s">
        <v>483</v>
      </c>
      <c r="B57" s="216"/>
      <c r="C57" s="216"/>
      <c r="D57" s="216"/>
      <c r="E57" s="593" t="s">
        <v>473</v>
      </c>
      <c r="F57" s="593" t="s">
        <v>795</v>
      </c>
      <c r="G57" s="593"/>
      <c r="H57" s="642" t="s">
        <v>924</v>
      </c>
      <c r="I57" s="858"/>
      <c r="J57" s="642" t="s">
        <v>471</v>
      </c>
    </row>
    <row r="58" spans="1:12" ht="13.4" customHeight="1">
      <c r="A58" s="325" t="s">
        <v>483</v>
      </c>
      <c r="B58" s="216"/>
      <c r="C58" s="216"/>
      <c r="D58" s="216"/>
      <c r="E58" s="593" t="s">
        <v>474</v>
      </c>
      <c r="F58" s="593" t="s">
        <v>796</v>
      </c>
      <c r="G58" s="593"/>
      <c r="H58" s="642" t="s">
        <v>471</v>
      </c>
      <c r="I58" s="858"/>
      <c r="J58" s="642" t="s">
        <v>472</v>
      </c>
    </row>
    <row r="59" spans="1:12" ht="13.4" customHeight="1">
      <c r="A59" s="325" t="s">
        <v>483</v>
      </c>
      <c r="B59" s="216"/>
      <c r="C59" s="216"/>
      <c r="D59" s="216"/>
      <c r="E59" s="593" t="s">
        <v>475</v>
      </c>
      <c r="F59" s="593" t="s">
        <v>797</v>
      </c>
      <c r="G59" s="593"/>
      <c r="H59" s="642" t="s">
        <v>472</v>
      </c>
      <c r="I59" s="858"/>
      <c r="J59" s="642" t="s">
        <v>990</v>
      </c>
    </row>
    <row r="60" spans="1:12" ht="13.4" customHeight="1">
      <c r="A60" s="325" t="s">
        <v>483</v>
      </c>
      <c r="B60" s="216"/>
      <c r="C60" s="216"/>
      <c r="D60" s="216"/>
      <c r="E60" s="593" t="s">
        <v>476</v>
      </c>
      <c r="F60" s="593" t="s">
        <v>798</v>
      </c>
      <c r="G60" s="593"/>
      <c r="H60" s="642" t="s">
        <v>925</v>
      </c>
      <c r="I60" s="858"/>
      <c r="J60" s="642" t="s">
        <v>926</v>
      </c>
    </row>
    <row r="61" spans="1:12" ht="13.4" customHeight="1">
      <c r="A61" s="325" t="s">
        <v>483</v>
      </c>
      <c r="B61" s="216"/>
      <c r="C61" s="216"/>
      <c r="D61" s="216"/>
      <c r="E61" s="593" t="s">
        <v>477</v>
      </c>
      <c r="F61" s="593" t="s">
        <v>799</v>
      </c>
      <c r="G61" s="593"/>
      <c r="H61" s="642" t="s">
        <v>926</v>
      </c>
      <c r="I61" s="858"/>
      <c r="J61" s="642" t="s">
        <v>1026</v>
      </c>
    </row>
    <row r="62" spans="1:12" ht="13.4" customHeight="1">
      <c r="A62" s="325" t="s">
        <v>483</v>
      </c>
      <c r="B62" s="216"/>
      <c r="C62" s="216"/>
      <c r="D62" s="216"/>
      <c r="E62" s="593" t="s">
        <v>478</v>
      </c>
      <c r="F62" s="593" t="s">
        <v>800</v>
      </c>
      <c r="G62" s="593"/>
      <c r="H62" s="642" t="s">
        <v>927</v>
      </c>
      <c r="I62" s="858"/>
      <c r="J62" s="642" t="s">
        <v>927</v>
      </c>
      <c r="L62" s="862"/>
    </row>
    <row r="63" spans="1:12" ht="13.4" customHeight="1">
      <c r="A63" s="325" t="s">
        <v>483</v>
      </c>
      <c r="B63" s="216"/>
      <c r="C63" s="216"/>
      <c r="D63" s="216"/>
      <c r="E63" s="593" t="s">
        <v>479</v>
      </c>
      <c r="F63" s="593" t="s">
        <v>801</v>
      </c>
      <c r="G63" s="593"/>
      <c r="H63" s="642" t="s">
        <v>477</v>
      </c>
      <c r="I63" s="858"/>
      <c r="J63" s="642" t="s">
        <v>1032</v>
      </c>
    </row>
    <row r="64" spans="1:12" ht="13.4" customHeight="1">
      <c r="A64" s="325" t="s">
        <v>483</v>
      </c>
      <c r="B64" s="216"/>
      <c r="C64" s="216"/>
      <c r="D64" s="216"/>
      <c r="E64" s="593" t="s">
        <v>480</v>
      </c>
      <c r="F64" s="593" t="s">
        <v>779</v>
      </c>
      <c r="G64" s="593"/>
      <c r="H64" s="642" t="s">
        <v>928</v>
      </c>
      <c r="I64" s="858"/>
      <c r="J64" s="642" t="s">
        <v>477</v>
      </c>
    </row>
    <row r="65" spans="1:10" ht="13.4" customHeight="1">
      <c r="A65" s="325" t="s">
        <v>483</v>
      </c>
      <c r="B65" s="216"/>
      <c r="C65" s="216"/>
      <c r="D65" s="216"/>
      <c r="E65" s="593" t="s">
        <v>481</v>
      </c>
      <c r="F65" s="593" t="s">
        <v>780</v>
      </c>
      <c r="G65" s="593"/>
      <c r="H65" s="642" t="s">
        <v>929</v>
      </c>
      <c r="I65" s="858"/>
      <c r="J65" s="642" t="s">
        <v>928</v>
      </c>
    </row>
    <row r="66" spans="1:10" ht="13.4" customHeight="1">
      <c r="A66" s="325" t="s">
        <v>483</v>
      </c>
      <c r="B66" s="216"/>
      <c r="C66" s="216"/>
      <c r="D66" s="216"/>
      <c r="E66" s="216"/>
      <c r="F66" s="593" t="s">
        <v>781</v>
      </c>
      <c r="G66" s="593"/>
      <c r="H66" s="642" t="s">
        <v>930</v>
      </c>
      <c r="I66" s="858"/>
      <c r="J66" s="642" t="s">
        <v>930</v>
      </c>
    </row>
    <row r="67" spans="1:10" ht="13.4" customHeight="1">
      <c r="A67" s="325" t="s">
        <v>483</v>
      </c>
      <c r="B67" s="216"/>
      <c r="C67" s="216"/>
      <c r="D67" s="216"/>
      <c r="E67" s="216"/>
      <c r="F67" s="593" t="s">
        <v>782</v>
      </c>
      <c r="G67" s="593"/>
      <c r="H67" s="642" t="s">
        <v>931</v>
      </c>
      <c r="I67" s="858"/>
      <c r="J67" s="642" t="s">
        <v>931</v>
      </c>
    </row>
    <row r="68" spans="1:10" ht="13.4" customHeight="1">
      <c r="A68" s="325" t="s">
        <v>483</v>
      </c>
      <c r="B68" s="216"/>
      <c r="C68" s="216"/>
      <c r="D68" s="216"/>
      <c r="E68" s="216"/>
      <c r="F68" s="593" t="s">
        <v>783</v>
      </c>
      <c r="G68" s="593"/>
      <c r="H68" s="642" t="s">
        <v>932</v>
      </c>
      <c r="I68" s="858"/>
      <c r="J68" s="642" t="s">
        <v>932</v>
      </c>
    </row>
    <row r="69" spans="1:10" ht="13.4" customHeight="1">
      <c r="A69" s="325" t="s">
        <v>483</v>
      </c>
      <c r="B69" s="216"/>
      <c r="C69" s="216"/>
      <c r="D69" s="216"/>
      <c r="E69" s="216"/>
      <c r="F69" s="593" t="s">
        <v>784</v>
      </c>
      <c r="G69" s="593"/>
      <c r="H69" s="593"/>
      <c r="I69" s="859"/>
      <c r="J69" s="642"/>
    </row>
    <row r="70" spans="1:10" ht="13.4" customHeight="1">
      <c r="A70" s="325" t="s">
        <v>483</v>
      </c>
      <c r="B70" s="216"/>
      <c r="C70" s="216"/>
      <c r="D70" s="216"/>
      <c r="E70" s="216"/>
      <c r="F70" s="593" t="s">
        <v>785</v>
      </c>
      <c r="G70" s="593"/>
      <c r="H70" s="593"/>
      <c r="I70" s="859"/>
      <c r="J70" s="642"/>
    </row>
    <row r="71" spans="1:10" ht="13.4" customHeight="1">
      <c r="A71" s="325" t="s">
        <v>483</v>
      </c>
      <c r="B71" s="216"/>
      <c r="C71" s="216"/>
      <c r="D71" s="216"/>
      <c r="E71" s="216"/>
      <c r="F71" s="593" t="s">
        <v>786</v>
      </c>
      <c r="G71" s="593"/>
      <c r="H71" s="593"/>
      <c r="I71" s="859"/>
      <c r="J71" s="642"/>
    </row>
    <row r="72" spans="1:10" ht="13.4" customHeight="1">
      <c r="A72" s="325" t="s">
        <v>483</v>
      </c>
      <c r="B72" s="216"/>
      <c r="C72" s="216"/>
      <c r="D72" s="216"/>
      <c r="E72" s="216"/>
      <c r="F72" s="593" t="s">
        <v>789</v>
      </c>
      <c r="G72" s="593"/>
      <c r="H72" s="593"/>
      <c r="I72" s="859"/>
      <c r="J72" s="593"/>
    </row>
    <row r="73" spans="1:10" ht="13.4" customHeight="1">
      <c r="A73" s="325" t="s">
        <v>483</v>
      </c>
      <c r="B73" s="216"/>
      <c r="C73" s="216"/>
      <c r="D73" s="216"/>
      <c r="E73" s="216"/>
      <c r="F73" s="593" t="s">
        <v>788</v>
      </c>
      <c r="G73" s="593"/>
      <c r="H73" s="593"/>
      <c r="I73" s="859"/>
      <c r="J73" s="593"/>
    </row>
    <row r="74" spans="1:10" ht="13.4" customHeight="1">
      <c r="A74" s="216"/>
      <c r="B74" s="216"/>
      <c r="C74" s="216"/>
      <c r="D74" s="216"/>
      <c r="E74" s="216"/>
      <c r="F74" s="216"/>
      <c r="G74" s="216"/>
      <c r="H74" s="593"/>
      <c r="I74" s="859"/>
      <c r="J74" s="593"/>
    </row>
    <row r="75" spans="1:10" ht="13.4" customHeight="1">
      <c r="A75" s="323" t="s">
        <v>938</v>
      </c>
      <c r="B75" s="324"/>
      <c r="C75" s="324"/>
      <c r="D75" s="324"/>
      <c r="E75" s="324"/>
      <c r="F75" s="324"/>
      <c r="G75" s="324"/>
      <c r="H75" s="324"/>
      <c r="I75" s="849"/>
      <c r="J75" s="324"/>
    </row>
    <row r="76" spans="1:10" ht="13.4" customHeight="1">
      <c r="A76" s="66" t="s">
        <v>939</v>
      </c>
      <c r="B76" s="66" t="s">
        <v>941</v>
      </c>
      <c r="C76" s="66"/>
      <c r="D76" s="66"/>
      <c r="F76" s="66"/>
      <c r="G76" s="66"/>
      <c r="H76" s="66"/>
      <c r="I76" s="860"/>
      <c r="J76" s="66"/>
    </row>
    <row r="77" spans="1:10" ht="13.4" customHeight="1">
      <c r="A77" s="66" t="s">
        <v>940</v>
      </c>
      <c r="B77" s="643" t="s">
        <v>942</v>
      </c>
      <c r="C77" s="643"/>
      <c r="D77" s="643"/>
      <c r="E77" s="643"/>
      <c r="F77" s="66" t="s">
        <v>943</v>
      </c>
      <c r="G77" s="66"/>
      <c r="H77" s="66"/>
      <c r="I77" s="860"/>
      <c r="J77" s="66"/>
    </row>
    <row r="78" spans="1:10" ht="13.4" customHeight="1">
      <c r="A78" s="216"/>
      <c r="B78" s="216"/>
      <c r="C78" s="216"/>
      <c r="D78" s="216"/>
      <c r="E78" s="216"/>
      <c r="F78" s="216"/>
      <c r="G78" s="216"/>
      <c r="H78" s="216"/>
      <c r="I78" s="853"/>
      <c r="J78" s="216"/>
    </row>
    <row r="79" spans="1:10" ht="13.4" customHeight="1">
      <c r="A79" s="323" t="s">
        <v>279</v>
      </c>
      <c r="B79" s="324">
        <v>2018</v>
      </c>
      <c r="C79" s="324">
        <v>2019</v>
      </c>
      <c r="D79" s="324">
        <v>2020</v>
      </c>
      <c r="E79" s="324">
        <v>2021</v>
      </c>
      <c r="F79" s="324">
        <v>2022</v>
      </c>
      <c r="G79" s="324"/>
      <c r="H79" s="324">
        <v>2023</v>
      </c>
      <c r="I79" s="849"/>
      <c r="J79" s="324">
        <v>2024</v>
      </c>
    </row>
    <row r="80" spans="1:10" ht="13.4" customHeight="1">
      <c r="A80" s="325" t="s">
        <v>276</v>
      </c>
      <c r="B80" s="329">
        <v>0.22</v>
      </c>
      <c r="C80" s="329">
        <v>0.22</v>
      </c>
      <c r="D80" s="329">
        <v>0.17</v>
      </c>
      <c r="E80" s="329">
        <v>0.15</v>
      </c>
      <c r="F80" s="329">
        <v>0.2</v>
      </c>
      <c r="G80" s="329"/>
      <c r="H80" s="329">
        <v>0.19</v>
      </c>
      <c r="I80" s="854"/>
      <c r="J80" s="329">
        <v>0.17</v>
      </c>
    </row>
    <row r="81" spans="1:10" ht="13.4" customHeight="1">
      <c r="A81" s="325" t="s">
        <v>277</v>
      </c>
      <c r="B81" s="329">
        <v>0</v>
      </c>
      <c r="C81" s="329">
        <v>0</v>
      </c>
      <c r="D81" s="329">
        <v>0</v>
      </c>
      <c r="E81" s="329">
        <v>0</v>
      </c>
      <c r="F81" s="329">
        <v>0.01</v>
      </c>
      <c r="G81" s="329"/>
      <c r="H81" s="329">
        <v>0.01</v>
      </c>
      <c r="I81" s="854"/>
      <c r="J81" s="329">
        <v>0.01</v>
      </c>
    </row>
    <row r="82" spans="1:10" ht="13.4" customHeight="1">
      <c r="A82" s="330" t="s">
        <v>67</v>
      </c>
      <c r="B82" s="329">
        <v>0.51</v>
      </c>
      <c r="C82" s="329">
        <v>0.49</v>
      </c>
      <c r="D82" s="329">
        <v>0.44</v>
      </c>
      <c r="E82" s="329">
        <v>0.46</v>
      </c>
      <c r="F82" s="329">
        <v>0.46</v>
      </c>
      <c r="G82" s="329"/>
      <c r="H82" s="329">
        <v>0.37</v>
      </c>
      <c r="I82" s="854"/>
      <c r="J82" s="329">
        <v>0.33</v>
      </c>
    </row>
    <row r="83" spans="1:10" ht="13.4" customHeight="1">
      <c r="A83" s="325" t="s">
        <v>278</v>
      </c>
      <c r="B83" s="329">
        <v>0.01</v>
      </c>
      <c r="C83" s="329">
        <v>0.01</v>
      </c>
      <c r="D83" s="329">
        <v>0.06</v>
      </c>
      <c r="E83" s="329">
        <v>0.04</v>
      </c>
      <c r="F83" s="329">
        <v>0.04</v>
      </c>
      <c r="G83" s="329"/>
      <c r="H83" s="329">
        <v>0.11</v>
      </c>
      <c r="I83" s="854"/>
      <c r="J83" s="329">
        <v>0.15</v>
      </c>
    </row>
    <row r="84" spans="1:10" ht="13.4" customHeight="1">
      <c r="A84" s="325" t="s">
        <v>85</v>
      </c>
      <c r="B84" s="329">
        <v>0.26</v>
      </c>
      <c r="C84" s="329">
        <v>0.28000000000000003</v>
      </c>
      <c r="D84" s="329">
        <v>0.33</v>
      </c>
      <c r="E84" s="329">
        <v>0.35</v>
      </c>
      <c r="F84" s="329">
        <v>0.28999999999999998</v>
      </c>
      <c r="G84" s="329"/>
      <c r="H84" s="329">
        <v>0.32</v>
      </c>
      <c r="I84" s="854"/>
      <c r="J84" s="329">
        <v>0.34</v>
      </c>
    </row>
  </sheetData>
  <sortState xmlns:xlrd2="http://schemas.microsoft.com/office/spreadsheetml/2017/richdata2" ref="J51:J71">
    <sortCondition ref="J51:J71"/>
  </sortState>
  <phoneticPr fontId="82" type="noConversion"/>
  <hyperlinks>
    <hyperlink ref="A2" location="'START PAGE'!A1" display="Back to start page" xr:uid="{00000000-0004-0000-0C00-000000000000}"/>
  </hyperlinks>
  <pageMargins left="0.7" right="0.7" top="0.75" bottom="0.75" header="0.3" footer="0.3"/>
  <pageSetup paperSize="9" orientation="portrait" r:id="rId1"/>
  <ignoredErrors>
    <ignoredError sqref="F32"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CD94-A727-4AF8-88C0-71386401BBF6}">
  <sheetPr codeName="Sheet16">
    <tabColor theme="4"/>
    <pageSetUpPr fitToPage="1"/>
  </sheetPr>
  <dimension ref="A1:AU65"/>
  <sheetViews>
    <sheetView zoomScale="90" zoomScaleNormal="90" workbookViewId="0"/>
  </sheetViews>
  <sheetFormatPr defaultColWidth="9" defaultRowHeight="10"/>
  <cols>
    <col min="1" max="1" width="33.08203125" style="465" bestFit="1" customWidth="1"/>
    <col min="2" max="2" width="25.58203125" style="465" bestFit="1" customWidth="1"/>
    <col min="3" max="3" width="23.5" style="465" bestFit="1" customWidth="1"/>
    <col min="4" max="4" width="14.5" style="465" bestFit="1" customWidth="1"/>
    <col min="5" max="5" width="14.5" style="465" customWidth="1"/>
    <col min="6" max="6" width="15.08203125" style="519" bestFit="1" customWidth="1"/>
    <col min="7" max="7" width="14.58203125" style="519" bestFit="1" customWidth="1"/>
    <col min="8" max="8" width="29.5" style="467" customWidth="1"/>
    <col min="9" max="9" width="9" style="467"/>
    <col min="10" max="10" width="32.58203125" style="1" bestFit="1" customWidth="1"/>
    <col min="11" max="13" width="0" style="1" hidden="1" customWidth="1"/>
    <col min="14" max="20" width="9" style="1"/>
    <col min="21" max="21" width="9" style="95"/>
    <col min="22" max="24" width="9" style="1"/>
    <col min="25" max="25" width="9" style="95"/>
    <col min="26" max="28" width="9" style="1"/>
    <col min="29" max="29" width="9" style="95"/>
    <col min="30" max="32" width="9" style="1"/>
    <col min="33" max="33" width="9" style="95"/>
    <col min="34" max="35" width="9" style="1"/>
    <col min="36" max="36" width="34.58203125" style="1" bestFit="1" customWidth="1"/>
    <col min="37" max="37" width="9" style="1"/>
    <col min="38" max="38" width="31.5" style="1" bestFit="1" customWidth="1"/>
    <col min="39" max="39" width="26.83203125" style="1" bestFit="1" customWidth="1"/>
    <col min="40" max="16384" width="9" style="1"/>
  </cols>
  <sheetData>
    <row r="1" spans="1:47" s="466" customFormat="1" ht="16" thickBot="1">
      <c r="A1" s="520" t="s">
        <v>719</v>
      </c>
      <c r="B1" s="520"/>
      <c r="C1" s="521"/>
      <c r="D1" s="521"/>
      <c r="E1" s="521"/>
      <c r="F1" s="522"/>
      <c r="G1" s="522"/>
      <c r="H1" s="521"/>
      <c r="I1" s="482"/>
      <c r="J1" s="482"/>
      <c r="K1" s="482"/>
      <c r="L1" s="482"/>
      <c r="M1" s="482"/>
      <c r="N1" s="482"/>
      <c r="O1" s="482"/>
      <c r="P1" s="482"/>
      <c r="Q1" s="482"/>
      <c r="R1" s="482"/>
      <c r="S1" s="482"/>
      <c r="T1" s="482"/>
      <c r="U1" s="813"/>
      <c r="V1" s="482"/>
      <c r="W1" s="482"/>
      <c r="X1" s="482"/>
      <c r="Y1" s="813"/>
      <c r="Z1" s="482"/>
      <c r="AA1" s="482"/>
      <c r="AB1" s="482"/>
      <c r="AC1" s="813"/>
      <c r="AD1" s="482"/>
      <c r="AE1" s="482"/>
      <c r="AF1" s="482"/>
      <c r="AG1" s="813"/>
      <c r="AH1" s="482"/>
      <c r="AI1" s="482"/>
      <c r="AJ1" s="482"/>
      <c r="AL1" s="482" t="s">
        <v>1092</v>
      </c>
      <c r="AM1" s="482"/>
      <c r="AN1" s="482"/>
      <c r="AO1" s="482"/>
      <c r="AP1" s="482"/>
      <c r="AQ1" s="482"/>
      <c r="AR1" s="482"/>
      <c r="AS1" s="482"/>
      <c r="AT1" s="482"/>
      <c r="AU1" s="482"/>
    </row>
    <row r="2" spans="1:47" s="818" customFormat="1" ht="16.5" thickTop="1" thickBot="1">
      <c r="A2" s="823" t="s">
        <v>198</v>
      </c>
      <c r="B2" s="819"/>
      <c r="C2" s="819"/>
      <c r="D2" s="819"/>
      <c r="E2" s="819"/>
      <c r="F2" s="820"/>
      <c r="G2" s="820"/>
      <c r="H2" s="819"/>
      <c r="I2" s="821"/>
      <c r="J2" s="821"/>
      <c r="K2" s="821"/>
      <c r="L2" s="821"/>
      <c r="M2" s="821"/>
      <c r="N2" s="821"/>
      <c r="O2" s="821"/>
      <c r="P2" s="821"/>
      <c r="Q2" s="821"/>
      <c r="R2" s="821"/>
      <c r="S2" s="821"/>
      <c r="T2" s="821"/>
      <c r="U2" s="822"/>
      <c r="V2" s="821"/>
      <c r="W2" s="821"/>
      <c r="X2" s="821"/>
      <c r="Y2" s="822"/>
      <c r="Z2" s="821"/>
      <c r="AA2" s="821"/>
      <c r="AB2" s="821"/>
      <c r="AC2" s="822"/>
      <c r="AD2" s="821"/>
      <c r="AE2" s="821"/>
      <c r="AF2" s="821"/>
      <c r="AG2" s="822"/>
      <c r="AH2" s="821"/>
      <c r="AI2" s="821"/>
      <c r="AJ2" s="821"/>
    </row>
    <row r="3" spans="1:47" ht="14.15" customHeight="1" thickTop="1">
      <c r="A3" s="523" t="s">
        <v>637</v>
      </c>
      <c r="B3" s="540" t="s">
        <v>638</v>
      </c>
      <c r="C3" s="540" t="s">
        <v>639</v>
      </c>
      <c r="D3" s="523" t="s">
        <v>640</v>
      </c>
      <c r="E3" s="523" t="s">
        <v>720</v>
      </c>
      <c r="F3" s="524" t="s">
        <v>641</v>
      </c>
      <c r="G3" s="524" t="s">
        <v>642</v>
      </c>
      <c r="H3" s="523" t="s">
        <v>502</v>
      </c>
      <c r="J3" s="809" t="s">
        <v>1002</v>
      </c>
      <c r="K3" s="810">
        <v>2018</v>
      </c>
      <c r="L3" s="810">
        <v>2019</v>
      </c>
      <c r="M3" s="810">
        <v>2020</v>
      </c>
      <c r="N3" s="810">
        <v>2021</v>
      </c>
      <c r="O3" s="810">
        <v>2022</v>
      </c>
      <c r="P3" s="810">
        <v>2023</v>
      </c>
      <c r="Q3" s="810">
        <v>2024</v>
      </c>
      <c r="R3" s="702"/>
      <c r="S3" s="810" t="s">
        <v>604</v>
      </c>
      <c r="T3" s="810" t="s">
        <v>589</v>
      </c>
      <c r="U3" s="811" t="s">
        <v>587</v>
      </c>
      <c r="V3" s="810" t="s">
        <v>504</v>
      </c>
      <c r="W3" s="810" t="s">
        <v>551</v>
      </c>
      <c r="X3" s="810" t="s">
        <v>532</v>
      </c>
      <c r="Y3" s="811" t="s">
        <v>530</v>
      </c>
      <c r="Z3" s="810" t="s">
        <v>803</v>
      </c>
      <c r="AA3" s="810" t="s">
        <v>812</v>
      </c>
      <c r="AB3" s="810" t="s">
        <v>816</v>
      </c>
      <c r="AC3" s="811" t="s">
        <v>835</v>
      </c>
      <c r="AD3" s="810" t="s">
        <v>872</v>
      </c>
      <c r="AE3" s="810" t="s">
        <v>986</v>
      </c>
      <c r="AF3" s="810" t="s">
        <v>1016</v>
      </c>
      <c r="AG3" s="811" t="s">
        <v>1039</v>
      </c>
      <c r="AH3" s="810" t="s">
        <v>1076</v>
      </c>
      <c r="AI3" s="810" t="s">
        <v>1285</v>
      </c>
      <c r="AJ3" s="809" t="str">
        <f>J3</f>
        <v>M&amp;A impact</v>
      </c>
      <c r="AL3" s="880"/>
      <c r="AM3" s="880"/>
      <c r="AN3" s="881" t="s">
        <v>872</v>
      </c>
      <c r="AO3" s="881" t="s">
        <v>986</v>
      </c>
      <c r="AP3" s="881" t="s">
        <v>1016</v>
      </c>
      <c r="AQ3" s="881" t="s">
        <v>1039</v>
      </c>
      <c r="AR3" s="882" t="s">
        <v>1083</v>
      </c>
      <c r="AS3" s="883"/>
      <c r="AT3" s="883"/>
    </row>
    <row r="4" spans="1:47" ht="14.15" customHeight="1">
      <c r="A4" s="523"/>
      <c r="B4" s="540"/>
      <c r="C4" s="540"/>
      <c r="D4" s="523"/>
      <c r="E4" s="523"/>
      <c r="F4" s="524"/>
      <c r="G4" s="524"/>
      <c r="H4" s="523"/>
      <c r="J4" s="637" t="s">
        <v>888</v>
      </c>
      <c r="K4" s="638"/>
      <c r="L4" s="638"/>
      <c r="M4" s="638"/>
      <c r="N4" s="638"/>
      <c r="O4" s="638"/>
      <c r="P4" s="638"/>
      <c r="Q4" s="638"/>
      <c r="R4" s="702"/>
      <c r="S4" s="638"/>
      <c r="T4" s="638"/>
      <c r="U4" s="639"/>
      <c r="V4" s="638"/>
      <c r="W4" s="638"/>
      <c r="X4" s="638"/>
      <c r="Y4" s="639"/>
      <c r="Z4" s="638"/>
      <c r="AA4" s="638"/>
      <c r="AB4" s="638"/>
      <c r="AC4" s="639"/>
      <c r="AD4" s="638"/>
      <c r="AE4" s="638"/>
      <c r="AF4" s="638"/>
      <c r="AG4" s="639"/>
      <c r="AH4" s="638"/>
      <c r="AI4" s="638"/>
      <c r="AJ4" s="637" t="s">
        <v>1001</v>
      </c>
      <c r="AL4" s="464" t="s">
        <v>0</v>
      </c>
      <c r="AM4" s="464" t="s">
        <v>1084</v>
      </c>
      <c r="AN4" s="884">
        <v>14143</v>
      </c>
      <c r="AO4" s="884">
        <v>16511</v>
      </c>
      <c r="AP4" s="884">
        <v>15699</v>
      </c>
      <c r="AQ4" s="884">
        <v>17251</v>
      </c>
      <c r="AR4" s="885">
        <f>SUM(AN4:AQ4)</f>
        <v>63604</v>
      </c>
      <c r="AS4" s="464"/>
      <c r="AT4" s="464"/>
    </row>
    <row r="5" spans="1:47">
      <c r="A5" s="992">
        <v>45749</v>
      </c>
      <c r="B5" s="548" t="s">
        <v>1274</v>
      </c>
      <c r="C5" s="547"/>
      <c r="D5" s="993" t="s">
        <v>73</v>
      </c>
      <c r="E5" s="993" t="s">
        <v>488</v>
      </c>
      <c r="F5" s="994">
        <v>1330</v>
      </c>
      <c r="G5" s="994">
        <v>145</v>
      </c>
      <c r="H5" s="993" t="s">
        <v>1282</v>
      </c>
      <c r="J5" s="66" t="s">
        <v>889</v>
      </c>
      <c r="K5" s="66"/>
      <c r="L5" s="66"/>
      <c r="M5" s="66"/>
      <c r="N5" s="66">
        <v>641</v>
      </c>
      <c r="O5" s="66">
        <v>599</v>
      </c>
      <c r="P5" s="66">
        <v>1981</v>
      </c>
      <c r="Q5" s="66">
        <v>2807</v>
      </c>
      <c r="R5" s="702"/>
      <c r="S5" s="66">
        <v>39</v>
      </c>
      <c r="T5" s="66">
        <v>307</v>
      </c>
      <c r="U5" s="383">
        <v>641</v>
      </c>
      <c r="V5" s="66">
        <v>0</v>
      </c>
      <c r="W5" s="66">
        <v>23</v>
      </c>
      <c r="X5" s="66">
        <v>148</v>
      </c>
      <c r="Y5" s="383">
        <v>599</v>
      </c>
      <c r="Z5" s="66">
        <v>250</v>
      </c>
      <c r="AA5" s="66">
        <v>892</v>
      </c>
      <c r="AB5" s="66">
        <v>1472</v>
      </c>
      <c r="AC5" s="383">
        <v>1981</v>
      </c>
      <c r="AD5" s="66">
        <v>0</v>
      </c>
      <c r="AE5" s="814">
        <v>986</v>
      </c>
      <c r="AF5" s="814">
        <v>1887</v>
      </c>
      <c r="AG5" s="995">
        <v>2807</v>
      </c>
      <c r="AH5" s="66" t="s">
        <v>999</v>
      </c>
      <c r="AI5" s="66" t="s">
        <v>999</v>
      </c>
      <c r="AJ5" s="66" t="s">
        <v>889</v>
      </c>
      <c r="AL5" s="628"/>
      <c r="AM5" s="628" t="s">
        <v>647</v>
      </c>
      <c r="AN5" s="886">
        <v>2949</v>
      </c>
      <c r="AO5" s="886">
        <v>3991</v>
      </c>
      <c r="AP5" s="886">
        <v>3809</v>
      </c>
      <c r="AQ5" s="886">
        <v>3891</v>
      </c>
      <c r="AR5" s="887">
        <f t="shared" ref="AR5:AR21" si="0">SUM(AN5:AQ5)</f>
        <v>14640</v>
      </c>
      <c r="AS5" s="464"/>
      <c r="AT5" s="464"/>
    </row>
    <row r="6" spans="1:47" ht="14.15" customHeight="1">
      <c r="A6" s="626">
        <v>45539</v>
      </c>
      <c r="B6" s="541" t="s">
        <v>995</v>
      </c>
      <c r="C6" s="542"/>
      <c r="D6" s="525" t="s">
        <v>996</v>
      </c>
      <c r="E6" s="526" t="s">
        <v>647</v>
      </c>
      <c r="F6" s="605">
        <v>365</v>
      </c>
      <c r="G6" s="527">
        <v>140</v>
      </c>
      <c r="H6" s="468"/>
      <c r="J6" s="66" t="s">
        <v>890</v>
      </c>
      <c r="K6" s="66"/>
      <c r="L6" s="66"/>
      <c r="M6" s="66"/>
      <c r="N6" s="66">
        <v>-56</v>
      </c>
      <c r="O6" s="66">
        <v>28</v>
      </c>
      <c r="P6" s="66">
        <v>244</v>
      </c>
      <c r="Q6" s="66">
        <v>-3</v>
      </c>
      <c r="R6" s="702"/>
      <c r="S6" s="66">
        <f>S5-R5</f>
        <v>39</v>
      </c>
      <c r="T6" s="66">
        <f>T5-S5</f>
        <v>268</v>
      </c>
      <c r="U6" s="383">
        <f>U5-T5</f>
        <v>334</v>
      </c>
      <c r="V6" s="66">
        <f>V5</f>
        <v>0</v>
      </c>
      <c r="W6" s="66">
        <f>W5-V5</f>
        <v>23</v>
      </c>
      <c r="X6" s="66">
        <f>X5-W5</f>
        <v>125</v>
      </c>
      <c r="Y6" s="383">
        <f>Y5-X5</f>
        <v>451</v>
      </c>
      <c r="Z6" s="66">
        <f>Z5</f>
        <v>250</v>
      </c>
      <c r="AA6" s="66">
        <f>AA5-Z5</f>
        <v>642</v>
      </c>
      <c r="AB6" s="66">
        <f>AB5-AA5</f>
        <v>580</v>
      </c>
      <c r="AC6" s="383">
        <f>AC5-AB5</f>
        <v>509</v>
      </c>
      <c r="AD6" s="66">
        <v>0</v>
      </c>
      <c r="AE6" s="814">
        <v>51</v>
      </c>
      <c r="AF6" s="814">
        <v>41</v>
      </c>
      <c r="AG6" s="996">
        <v>-3</v>
      </c>
      <c r="AH6" s="66" t="s">
        <v>999</v>
      </c>
      <c r="AI6" s="66" t="s">
        <v>999</v>
      </c>
      <c r="AJ6" s="66" t="s">
        <v>890</v>
      </c>
      <c r="AL6" s="464" t="s">
        <v>1085</v>
      </c>
      <c r="AM6" s="464" t="s">
        <v>1084</v>
      </c>
      <c r="AN6" s="884">
        <v>2760</v>
      </c>
      <c r="AO6" s="884">
        <v>2921</v>
      </c>
      <c r="AP6" s="884">
        <v>3277</v>
      </c>
      <c r="AQ6" s="884">
        <v>3427</v>
      </c>
      <c r="AR6" s="885">
        <f t="shared" si="0"/>
        <v>12385</v>
      </c>
      <c r="AS6" s="464"/>
      <c r="AT6" s="464"/>
    </row>
    <row r="7" spans="1:47" ht="14.15" customHeight="1">
      <c r="A7" s="626">
        <v>45476</v>
      </c>
      <c r="B7" s="604" t="s">
        <v>997</v>
      </c>
      <c r="C7" s="542"/>
      <c r="D7" s="525" t="s">
        <v>73</v>
      </c>
      <c r="E7" s="526" t="s">
        <v>721</v>
      </c>
      <c r="F7" s="605">
        <v>300</v>
      </c>
      <c r="G7" s="797" t="s">
        <v>999</v>
      </c>
      <c r="H7" s="798" t="s">
        <v>1283</v>
      </c>
      <c r="J7" s="66" t="s">
        <v>891</v>
      </c>
      <c r="K7" s="66"/>
      <c r="L7" s="66"/>
      <c r="M7" s="66"/>
      <c r="N7" s="66"/>
      <c r="O7" s="66"/>
      <c r="P7" s="66"/>
      <c r="Q7" s="66"/>
      <c r="R7" s="702"/>
      <c r="S7" s="66">
        <v>-7</v>
      </c>
      <c r="T7" s="66">
        <v>-28</v>
      </c>
      <c r="U7" s="383">
        <v>-56</v>
      </c>
      <c r="V7" s="66">
        <v>0</v>
      </c>
      <c r="W7" s="66">
        <v>0.2</v>
      </c>
      <c r="X7" s="66">
        <v>23</v>
      </c>
      <c r="Y7" s="383">
        <v>28</v>
      </c>
      <c r="Z7" s="66">
        <v>13</v>
      </c>
      <c r="AA7" s="66">
        <v>119</v>
      </c>
      <c r="AB7" s="66">
        <v>199</v>
      </c>
      <c r="AC7" s="383">
        <v>244</v>
      </c>
      <c r="AD7" s="66">
        <v>0</v>
      </c>
      <c r="AE7" s="814">
        <v>986</v>
      </c>
      <c r="AF7" s="814">
        <f>AF5-AE5</f>
        <v>901</v>
      </c>
      <c r="AG7" s="995">
        <f>AG5-AF5</f>
        <v>920</v>
      </c>
      <c r="AH7" s="66" t="s">
        <v>999</v>
      </c>
      <c r="AI7" s="66" t="s">
        <v>999</v>
      </c>
      <c r="AJ7" s="66" t="s">
        <v>891</v>
      </c>
      <c r="AL7" s="628"/>
      <c r="AM7" s="628" t="s">
        <v>647</v>
      </c>
      <c r="AN7" s="886">
        <v>335</v>
      </c>
      <c r="AO7" s="886">
        <v>283</v>
      </c>
      <c r="AP7" s="886">
        <v>429</v>
      </c>
      <c r="AQ7" s="886">
        <v>326</v>
      </c>
      <c r="AR7" s="887">
        <f t="shared" si="0"/>
        <v>1373</v>
      </c>
      <c r="AS7" s="464"/>
      <c r="AT7" s="464"/>
    </row>
    <row r="8" spans="1:47" ht="14.15" customHeight="1">
      <c r="A8" s="626">
        <v>45460</v>
      </c>
      <c r="B8" s="541" t="s">
        <v>998</v>
      </c>
      <c r="C8" s="542"/>
      <c r="D8" s="525" t="s">
        <v>996</v>
      </c>
      <c r="E8" s="526" t="s">
        <v>647</v>
      </c>
      <c r="F8" s="796" t="s">
        <v>999</v>
      </c>
      <c r="G8" s="527">
        <v>10</v>
      </c>
      <c r="H8" s="468"/>
      <c r="J8" s="66" t="s">
        <v>892</v>
      </c>
      <c r="K8" s="66"/>
      <c r="L8" s="66"/>
      <c r="M8" s="66"/>
      <c r="N8" s="66"/>
      <c r="O8" s="66"/>
      <c r="P8" s="66"/>
      <c r="Q8" s="66"/>
      <c r="R8" s="702"/>
      <c r="S8" s="66">
        <f>S7-R7</f>
        <v>-7</v>
      </c>
      <c r="T8" s="66">
        <f>T7-S7</f>
        <v>-21</v>
      </c>
      <c r="U8" s="383">
        <f>U7-T7</f>
        <v>-28</v>
      </c>
      <c r="V8" s="66">
        <f>V7</f>
        <v>0</v>
      </c>
      <c r="W8" s="66">
        <f>W7-V7</f>
        <v>0.2</v>
      </c>
      <c r="X8" s="66">
        <f>X7-W7</f>
        <v>22.8</v>
      </c>
      <c r="Y8" s="383">
        <f>Y7-X7</f>
        <v>5</v>
      </c>
      <c r="Z8" s="66">
        <f>Z7</f>
        <v>13</v>
      </c>
      <c r="AA8" s="66">
        <f>AA7-Z7</f>
        <v>106</v>
      </c>
      <c r="AB8" s="66">
        <f>AB7-AA7</f>
        <v>80</v>
      </c>
      <c r="AC8" s="383">
        <f>AC7-AB7</f>
        <v>45</v>
      </c>
      <c r="AD8" s="66">
        <v>0</v>
      </c>
      <c r="AE8" s="814">
        <v>51</v>
      </c>
      <c r="AF8" s="845">
        <f>AF6-AE6</f>
        <v>-10</v>
      </c>
      <c r="AG8" s="996">
        <f>AG6-AF6</f>
        <v>-44</v>
      </c>
      <c r="AH8" s="66" t="s">
        <v>999</v>
      </c>
      <c r="AI8" s="66" t="s">
        <v>999</v>
      </c>
      <c r="AJ8" s="66" t="s">
        <v>892</v>
      </c>
      <c r="AL8" s="464" t="s">
        <v>934</v>
      </c>
      <c r="AM8" s="464" t="s">
        <v>1084</v>
      </c>
      <c r="AN8" s="884">
        <v>2976</v>
      </c>
      <c r="AO8" s="884">
        <v>3192</v>
      </c>
      <c r="AP8" s="884">
        <v>3896</v>
      </c>
      <c r="AQ8" s="884">
        <v>3704</v>
      </c>
      <c r="AR8" s="885">
        <f t="shared" si="0"/>
        <v>13768</v>
      </c>
      <c r="AS8" s="464"/>
      <c r="AT8" s="464"/>
    </row>
    <row r="9" spans="1:47" ht="14.15" customHeight="1">
      <c r="A9" s="603">
        <v>45415</v>
      </c>
      <c r="B9" s="541" t="s">
        <v>839</v>
      </c>
      <c r="C9" s="463"/>
      <c r="D9" s="463" t="s">
        <v>73</v>
      </c>
      <c r="E9" s="526" t="s">
        <v>72</v>
      </c>
      <c r="F9" s="605">
        <v>90</v>
      </c>
      <c r="G9" s="605">
        <v>80</v>
      </c>
      <c r="H9" s="528"/>
      <c r="J9" s="66" t="s">
        <v>899</v>
      </c>
      <c r="K9" s="66"/>
      <c r="L9" s="66"/>
      <c r="M9" s="66"/>
      <c r="N9" s="800">
        <f>N6/N5</f>
        <v>-8.7363494539781594E-2</v>
      </c>
      <c r="O9" s="800">
        <f t="shared" ref="O9:P9" si="1">O6/O5</f>
        <v>4.6744574290484141E-2</v>
      </c>
      <c r="P9" s="800">
        <f t="shared" si="1"/>
        <v>0.12317011610297829</v>
      </c>
      <c r="Q9" s="800">
        <f>Q6/Q5</f>
        <v>-1.0687566797292483E-3</v>
      </c>
      <c r="R9" s="702"/>
      <c r="S9" s="801">
        <f>S8/S6</f>
        <v>-0.17948717948717949</v>
      </c>
      <c r="T9" s="801">
        <f t="shared" ref="T9:AC9" si="2">T8/T6</f>
        <v>-7.8358208955223885E-2</v>
      </c>
      <c r="U9" s="802">
        <f t="shared" si="2"/>
        <v>-8.3832335329341312E-2</v>
      </c>
      <c r="V9" s="801">
        <v>0</v>
      </c>
      <c r="W9" s="801">
        <f t="shared" si="2"/>
        <v>8.6956521739130436E-3</v>
      </c>
      <c r="X9" s="801">
        <f t="shared" si="2"/>
        <v>0.18240000000000001</v>
      </c>
      <c r="Y9" s="802">
        <f t="shared" si="2"/>
        <v>1.1086474501108648E-2</v>
      </c>
      <c r="Z9" s="801">
        <f t="shared" si="2"/>
        <v>5.1999999999999998E-2</v>
      </c>
      <c r="AA9" s="801">
        <f t="shared" si="2"/>
        <v>0.16510903426791276</v>
      </c>
      <c r="AB9" s="801">
        <f t="shared" si="2"/>
        <v>0.13793103448275862</v>
      </c>
      <c r="AC9" s="802">
        <f t="shared" si="2"/>
        <v>8.8408644400785857E-2</v>
      </c>
      <c r="AD9" s="801">
        <v>0</v>
      </c>
      <c r="AE9" s="801">
        <f>AE8/AE7</f>
        <v>5.1724137931034482E-2</v>
      </c>
      <c r="AF9" s="801">
        <f>AF8/AF7</f>
        <v>-1.1098779134295227E-2</v>
      </c>
      <c r="AG9" s="997">
        <f>AG8/AG7</f>
        <v>-4.7826086956521741E-2</v>
      </c>
      <c r="AH9" s="801"/>
      <c r="AI9" s="801"/>
      <c r="AJ9" s="66" t="s">
        <v>899</v>
      </c>
      <c r="AL9" s="628"/>
      <c r="AM9" s="628" t="s">
        <v>647</v>
      </c>
      <c r="AN9" s="886">
        <v>369</v>
      </c>
      <c r="AO9" s="886">
        <v>361</v>
      </c>
      <c r="AP9" s="886">
        <v>505</v>
      </c>
      <c r="AQ9" s="886">
        <v>406</v>
      </c>
      <c r="AR9" s="887">
        <f t="shared" si="0"/>
        <v>1641</v>
      </c>
      <c r="AS9" s="464"/>
      <c r="AT9" s="464"/>
    </row>
    <row r="10" spans="1:47" ht="14.15" customHeight="1">
      <c r="A10" s="657">
        <v>45383</v>
      </c>
      <c r="B10" s="543" t="s">
        <v>1291</v>
      </c>
      <c r="C10" s="658"/>
      <c r="D10" s="530" t="s">
        <v>71</v>
      </c>
      <c r="E10" s="530" t="s">
        <v>647</v>
      </c>
      <c r="F10" s="659">
        <v>4700</v>
      </c>
      <c r="G10" s="659">
        <v>1380</v>
      </c>
      <c r="H10" s="660"/>
      <c r="J10" s="66"/>
      <c r="K10" s="66"/>
      <c r="L10" s="66"/>
      <c r="M10" s="66"/>
      <c r="N10" s="66"/>
      <c r="O10" s="66"/>
      <c r="P10" s="66"/>
      <c r="Q10" s="66"/>
      <c r="R10" s="702"/>
      <c r="S10" s="66"/>
      <c r="T10" s="66"/>
      <c r="U10" s="383"/>
      <c r="V10" s="66"/>
      <c r="W10" s="66"/>
      <c r="X10" s="66"/>
      <c r="Y10" s="383"/>
      <c r="Z10" s="66"/>
      <c r="AA10" s="66"/>
      <c r="AB10" s="66"/>
      <c r="AC10" s="383"/>
      <c r="AD10" s="66"/>
      <c r="AE10" s="66"/>
      <c r="AF10" s="66"/>
      <c r="AG10" s="383"/>
      <c r="AH10" s="66"/>
      <c r="AI10" s="66"/>
      <c r="AJ10" s="66"/>
      <c r="AL10" s="464" t="s">
        <v>1086</v>
      </c>
      <c r="AM10" s="464" t="s">
        <v>1084</v>
      </c>
      <c r="AN10" s="884">
        <v>3103</v>
      </c>
      <c r="AO10" s="884">
        <v>3517</v>
      </c>
      <c r="AP10" s="884">
        <v>3359</v>
      </c>
      <c r="AQ10" s="884">
        <v>3682</v>
      </c>
      <c r="AR10" s="885">
        <f t="shared" si="0"/>
        <v>13661</v>
      </c>
      <c r="AS10" s="464"/>
      <c r="AT10" s="464"/>
    </row>
    <row r="11" spans="1:47" ht="14.15" customHeight="1">
      <c r="A11" s="626">
        <v>45079</v>
      </c>
      <c r="B11" s="541" t="s">
        <v>813</v>
      </c>
      <c r="C11" s="542"/>
      <c r="D11" s="463" t="s">
        <v>73</v>
      </c>
      <c r="E11" s="463" t="s">
        <v>721</v>
      </c>
      <c r="F11" s="527">
        <v>0</v>
      </c>
      <c r="G11" s="527">
        <v>85</v>
      </c>
      <c r="H11" s="470"/>
      <c r="J11" s="806" t="s">
        <v>856</v>
      </c>
      <c r="K11" s="807"/>
      <c r="L11" s="807"/>
      <c r="M11" s="807"/>
      <c r="N11" s="807"/>
      <c r="O11" s="807"/>
      <c r="P11" s="807"/>
      <c r="Q11" s="807"/>
      <c r="R11" s="702"/>
      <c r="S11" s="807"/>
      <c r="T11" s="807"/>
      <c r="U11" s="808"/>
      <c r="V11" s="807"/>
      <c r="W11" s="807"/>
      <c r="X11" s="807"/>
      <c r="Y11" s="808"/>
      <c r="Z11" s="807"/>
      <c r="AA11" s="807"/>
      <c r="AB11" s="807"/>
      <c r="AC11" s="808"/>
      <c r="AD11" s="807"/>
      <c r="AE11" s="807"/>
      <c r="AF11" s="807"/>
      <c r="AG11" s="808"/>
      <c r="AH11" s="807"/>
      <c r="AI11" s="807"/>
      <c r="AJ11" s="806" t="s">
        <v>856</v>
      </c>
      <c r="AL11" s="628"/>
      <c r="AM11" s="628" t="s">
        <v>647</v>
      </c>
      <c r="AN11" s="886">
        <v>494</v>
      </c>
      <c r="AO11" s="886">
        <v>526</v>
      </c>
      <c r="AP11" s="886">
        <v>505</v>
      </c>
      <c r="AQ11" s="886">
        <v>406</v>
      </c>
      <c r="AR11" s="887">
        <f t="shared" si="0"/>
        <v>1931</v>
      </c>
      <c r="AS11" s="464"/>
      <c r="AT11" s="464"/>
    </row>
    <row r="12" spans="1:47" ht="14.15" customHeight="1">
      <c r="A12" s="603">
        <v>45019</v>
      </c>
      <c r="B12" s="604" t="s">
        <v>643</v>
      </c>
      <c r="C12" s="463"/>
      <c r="D12" s="463" t="s">
        <v>73</v>
      </c>
      <c r="E12" s="463" t="s">
        <v>721</v>
      </c>
      <c r="F12" s="605">
        <v>650</v>
      </c>
      <c r="G12" s="605">
        <v>200</v>
      </c>
      <c r="H12" s="528"/>
      <c r="J12" s="702" t="s">
        <v>246</v>
      </c>
      <c r="K12" s="265"/>
      <c r="L12" s="265"/>
      <c r="M12" s="265"/>
      <c r="N12" s="265"/>
      <c r="O12" s="559"/>
      <c r="P12" s="703">
        <v>-1</v>
      </c>
      <c r="Q12" s="703">
        <v>0</v>
      </c>
      <c r="R12" s="702"/>
      <c r="S12" s="265"/>
      <c r="T12" s="265"/>
      <c r="U12" s="266"/>
      <c r="V12" s="559"/>
      <c r="W12" s="559"/>
      <c r="X12" s="559"/>
      <c r="Y12" s="560"/>
      <c r="Z12" s="703">
        <v>-1.3</v>
      </c>
      <c r="AA12" s="703">
        <v>-1.1000000000000001</v>
      </c>
      <c r="AB12" s="703">
        <v>-1.1000000000000001</v>
      </c>
      <c r="AC12" s="799">
        <v>-0.5</v>
      </c>
      <c r="AD12" s="703">
        <v>-0.2</v>
      </c>
      <c r="AE12" s="703">
        <v>-0.1</v>
      </c>
      <c r="AF12" s="703">
        <v>0</v>
      </c>
      <c r="AG12" s="799">
        <v>0</v>
      </c>
      <c r="AH12" s="703">
        <v>0</v>
      </c>
      <c r="AI12" s="703">
        <v>0</v>
      </c>
      <c r="AJ12" s="702" t="s">
        <v>246</v>
      </c>
      <c r="AL12" s="464" t="s">
        <v>1087</v>
      </c>
      <c r="AM12" s="464" t="s">
        <v>1084</v>
      </c>
      <c r="AN12" s="884">
        <v>216</v>
      </c>
      <c r="AO12" s="884">
        <v>271</v>
      </c>
      <c r="AP12" s="884">
        <v>619</v>
      </c>
      <c r="AQ12" s="884">
        <v>277</v>
      </c>
      <c r="AR12" s="885">
        <f t="shared" si="0"/>
        <v>1383</v>
      </c>
      <c r="AS12" s="464"/>
      <c r="AT12" s="464"/>
    </row>
    <row r="13" spans="1:47" ht="14.15" customHeight="1">
      <c r="A13" s="525" t="s">
        <v>644</v>
      </c>
      <c r="B13" s="541" t="s">
        <v>645</v>
      </c>
      <c r="C13" s="542"/>
      <c r="D13" s="526" t="s">
        <v>73</v>
      </c>
      <c r="E13" s="526" t="s">
        <v>72</v>
      </c>
      <c r="F13" s="527">
        <v>50</v>
      </c>
      <c r="G13" s="527">
        <v>45</v>
      </c>
      <c r="H13" s="470"/>
      <c r="J13" s="702" t="s">
        <v>247</v>
      </c>
      <c r="K13" s="265"/>
      <c r="L13" s="265"/>
      <c r="M13" s="265"/>
      <c r="N13" s="265"/>
      <c r="O13" s="559"/>
      <c r="P13" s="703">
        <v>-0.4</v>
      </c>
      <c r="Q13" s="703">
        <v>-4</v>
      </c>
      <c r="R13" s="702"/>
      <c r="S13" s="265"/>
      <c r="T13" s="265"/>
      <c r="U13" s="266"/>
      <c r="V13" s="559"/>
      <c r="W13" s="559"/>
      <c r="X13" s="559"/>
      <c r="Y13" s="560"/>
      <c r="Z13" s="703">
        <v>-1.2</v>
      </c>
      <c r="AA13" s="703">
        <v>0.4</v>
      </c>
      <c r="AB13" s="703">
        <v>0.4</v>
      </c>
      <c r="AC13" s="799">
        <v>-0.7</v>
      </c>
      <c r="AD13" s="703">
        <v>-0.1</v>
      </c>
      <c r="AE13" s="703">
        <v>-2.2000000000000002</v>
      </c>
      <c r="AF13" s="703">
        <v>-3.9</v>
      </c>
      <c r="AG13" s="799">
        <v>-4</v>
      </c>
      <c r="AH13" s="703">
        <v>-2.7</v>
      </c>
      <c r="AI13" s="703">
        <v>0</v>
      </c>
      <c r="AJ13" s="702" t="s">
        <v>247</v>
      </c>
      <c r="AL13" s="628"/>
      <c r="AM13" s="628" t="s">
        <v>647</v>
      </c>
      <c r="AN13" s="886">
        <v>34</v>
      </c>
      <c r="AO13" s="886">
        <v>78</v>
      </c>
      <c r="AP13" s="886">
        <v>76</v>
      </c>
      <c r="AQ13" s="886">
        <v>80</v>
      </c>
      <c r="AR13" s="887">
        <f t="shared" si="0"/>
        <v>268</v>
      </c>
      <c r="AS13" s="464"/>
      <c r="AT13" s="464"/>
    </row>
    <row r="14" spans="1:47" ht="14.15" customHeight="1">
      <c r="A14" s="529" t="s">
        <v>644</v>
      </c>
      <c r="B14" s="543" t="s">
        <v>646</v>
      </c>
      <c r="C14" s="544"/>
      <c r="D14" s="530" t="s">
        <v>71</v>
      </c>
      <c r="E14" s="530" t="s">
        <v>647</v>
      </c>
      <c r="F14" s="531">
        <v>1700</v>
      </c>
      <c r="G14" s="531">
        <v>400</v>
      </c>
      <c r="H14" s="473"/>
      <c r="J14" s="258" t="s">
        <v>245</v>
      </c>
      <c r="K14" s="298"/>
      <c r="L14" s="298"/>
      <c r="M14" s="298"/>
      <c r="N14" s="298"/>
      <c r="O14" s="298"/>
      <c r="P14" s="635">
        <v>-0.9</v>
      </c>
      <c r="Q14" s="635">
        <v>-1</v>
      </c>
      <c r="R14" s="702"/>
      <c r="S14" s="298"/>
      <c r="T14" s="298"/>
      <c r="U14" s="299"/>
      <c r="V14" s="298"/>
      <c r="W14" s="298"/>
      <c r="X14" s="298"/>
      <c r="Y14" s="299"/>
      <c r="Z14" s="635">
        <v>-1.3</v>
      </c>
      <c r="AA14" s="635">
        <v>-0.9</v>
      </c>
      <c r="AB14" s="635">
        <v>-1</v>
      </c>
      <c r="AC14" s="634">
        <v>-0.7</v>
      </c>
      <c r="AD14" s="635">
        <v>-0.2</v>
      </c>
      <c r="AE14" s="635">
        <v>-0.9</v>
      </c>
      <c r="AF14" s="635">
        <v>-1.3</v>
      </c>
      <c r="AG14" s="751">
        <v>-1.4</v>
      </c>
      <c r="AH14" s="635">
        <f>-1-0</f>
        <v>-1</v>
      </c>
      <c r="AI14" s="635">
        <v>0</v>
      </c>
      <c r="AJ14" s="258" t="s">
        <v>245</v>
      </c>
      <c r="AL14" s="464" t="s">
        <v>1088</v>
      </c>
      <c r="AM14" s="464" t="s">
        <v>1084</v>
      </c>
      <c r="AN14" s="884">
        <v>127</v>
      </c>
      <c r="AO14" s="884">
        <v>325</v>
      </c>
      <c r="AP14" s="884">
        <v>-537</v>
      </c>
      <c r="AQ14" s="884">
        <v>-22</v>
      </c>
      <c r="AR14" s="885">
        <f t="shared" si="0"/>
        <v>-107</v>
      </c>
      <c r="AS14" s="464"/>
      <c r="AT14" s="464"/>
    </row>
    <row r="15" spans="1:47" ht="14.15" customHeight="1">
      <c r="A15" s="532" t="s">
        <v>648</v>
      </c>
      <c r="B15" s="545" t="s">
        <v>649</v>
      </c>
      <c r="C15" s="546"/>
      <c r="D15" s="532" t="s">
        <v>73</v>
      </c>
      <c r="E15" s="532" t="s">
        <v>72</v>
      </c>
      <c r="F15" s="533">
        <v>600</v>
      </c>
      <c r="G15" s="533">
        <v>225</v>
      </c>
      <c r="H15" s="477"/>
      <c r="J15" s="756"/>
      <c r="K15" s="265"/>
      <c r="L15" s="265"/>
      <c r="M15" s="265"/>
      <c r="N15" s="265"/>
      <c r="O15" s="265"/>
      <c r="P15" s="703"/>
      <c r="Q15" s="703"/>
      <c r="R15" s="702"/>
      <c r="S15" s="265"/>
      <c r="T15" s="265"/>
      <c r="U15" s="266"/>
      <c r="V15" s="265"/>
      <c r="W15" s="265"/>
      <c r="X15" s="265"/>
      <c r="Y15" s="266"/>
      <c r="Z15" s="703"/>
      <c r="AA15" s="703"/>
      <c r="AB15" s="703"/>
      <c r="AC15" s="812"/>
      <c r="AD15" s="703"/>
      <c r="AE15" s="265"/>
      <c r="AF15" s="265"/>
      <c r="AG15" s="266"/>
      <c r="AH15" s="703"/>
      <c r="AI15" s="703"/>
      <c r="AJ15" s="756"/>
      <c r="AL15" s="464"/>
      <c r="AM15" s="464" t="s">
        <v>647</v>
      </c>
      <c r="AN15" s="884">
        <v>125</v>
      </c>
      <c r="AO15" s="884">
        <v>165</v>
      </c>
      <c r="AP15" s="884">
        <v>0</v>
      </c>
      <c r="AQ15" s="884">
        <v>0</v>
      </c>
      <c r="AR15" s="885">
        <f t="shared" si="0"/>
        <v>290</v>
      </c>
      <c r="AS15" s="464"/>
      <c r="AT15" s="464"/>
    </row>
    <row r="16" spans="1:47" ht="14.15" customHeight="1">
      <c r="A16" s="526" t="s">
        <v>650</v>
      </c>
      <c r="B16" s="541" t="s">
        <v>651</v>
      </c>
      <c r="C16" s="542"/>
      <c r="D16" s="526" t="s">
        <v>71</v>
      </c>
      <c r="E16" s="526" t="s">
        <v>647</v>
      </c>
      <c r="F16" s="534">
        <v>200</v>
      </c>
      <c r="G16" s="534">
        <v>100</v>
      </c>
      <c r="H16" s="470"/>
      <c r="J16" s="637" t="s">
        <v>900</v>
      </c>
      <c r="K16" s="638"/>
      <c r="L16" s="638"/>
      <c r="M16" s="638"/>
      <c r="N16" s="638"/>
      <c r="O16" s="638"/>
      <c r="P16" s="638"/>
      <c r="Q16" s="638"/>
      <c r="R16" s="702"/>
      <c r="S16" s="638"/>
      <c r="T16" s="638"/>
      <c r="U16" s="639"/>
      <c r="V16" s="638"/>
      <c r="W16" s="638"/>
      <c r="X16" s="638"/>
      <c r="Y16" s="639"/>
      <c r="Z16" s="638"/>
      <c r="AA16" s="638"/>
      <c r="AB16" s="638"/>
      <c r="AC16" s="639"/>
      <c r="AD16" s="638"/>
      <c r="AE16" s="638"/>
      <c r="AF16" s="638"/>
      <c r="AG16" s="639"/>
      <c r="AH16" s="638"/>
      <c r="AI16" s="638"/>
      <c r="AJ16" s="637" t="s">
        <v>900</v>
      </c>
      <c r="AL16" s="628"/>
      <c r="AM16" s="628" t="s">
        <v>1089</v>
      </c>
      <c r="AN16" s="886">
        <v>125</v>
      </c>
      <c r="AO16" s="886">
        <v>130</v>
      </c>
      <c r="AP16" s="886">
        <v>0</v>
      </c>
      <c r="AQ16" s="886">
        <v>0</v>
      </c>
      <c r="AR16" s="887">
        <f t="shared" si="0"/>
        <v>255</v>
      </c>
      <c r="AS16" s="464"/>
      <c r="AT16" s="464"/>
    </row>
    <row r="17" spans="1:46" ht="14.15" customHeight="1">
      <c r="A17" s="526" t="s">
        <v>652</v>
      </c>
      <c r="B17" s="541" t="s">
        <v>653</v>
      </c>
      <c r="C17" s="542"/>
      <c r="D17" s="526" t="s">
        <v>73</v>
      </c>
      <c r="E17" s="526" t="s">
        <v>72</v>
      </c>
      <c r="F17" s="534">
        <v>1040</v>
      </c>
      <c r="G17" s="534">
        <v>330</v>
      </c>
      <c r="H17" s="535">
        <v>0.53</v>
      </c>
      <c r="J17" s="66" t="s">
        <v>893</v>
      </c>
      <c r="K17" s="66"/>
      <c r="L17" s="66"/>
      <c r="M17" s="66"/>
      <c r="N17" s="66">
        <v>2358</v>
      </c>
      <c r="O17" s="66">
        <v>4674</v>
      </c>
      <c r="P17" s="66">
        <v>3265</v>
      </c>
      <c r="Q17" s="66">
        <v>9025</v>
      </c>
      <c r="R17" s="702"/>
      <c r="S17" s="66">
        <v>1284</v>
      </c>
      <c r="T17" s="66">
        <v>1780</v>
      </c>
      <c r="U17" s="383">
        <v>2358</v>
      </c>
      <c r="V17" s="66">
        <v>0</v>
      </c>
      <c r="W17" s="66">
        <v>262</v>
      </c>
      <c r="X17" s="66">
        <v>472</v>
      </c>
      <c r="Y17" s="383">
        <v>4674</v>
      </c>
      <c r="Z17" s="66">
        <v>3252</v>
      </c>
      <c r="AA17" s="66">
        <v>3258</v>
      </c>
      <c r="AB17" s="66">
        <v>3265</v>
      </c>
      <c r="AC17" s="383">
        <v>3265</v>
      </c>
      <c r="AD17" s="66">
        <v>0</v>
      </c>
      <c r="AE17" s="814">
        <v>8031</v>
      </c>
      <c r="AF17" s="814">
        <v>9025</v>
      </c>
      <c r="AG17" s="998">
        <v>9025</v>
      </c>
      <c r="AH17" s="66" t="s">
        <v>999</v>
      </c>
      <c r="AI17" s="66" t="s">
        <v>999</v>
      </c>
      <c r="AJ17" s="66" t="s">
        <v>893</v>
      </c>
      <c r="AL17" s="888" t="s">
        <v>719</v>
      </c>
      <c r="AM17" s="888"/>
      <c r="AN17" s="889"/>
      <c r="AO17" s="889"/>
      <c r="AP17" s="889"/>
      <c r="AQ17" s="889"/>
      <c r="AR17" s="889"/>
      <c r="AS17" s="883"/>
      <c r="AT17" s="883"/>
    </row>
    <row r="18" spans="1:46" ht="14.15" customHeight="1">
      <c r="A18" s="526" t="s">
        <v>654</v>
      </c>
      <c r="B18" s="541" t="s">
        <v>655</v>
      </c>
      <c r="C18" s="542"/>
      <c r="D18" s="526" t="s">
        <v>73</v>
      </c>
      <c r="E18" s="526" t="s">
        <v>60</v>
      </c>
      <c r="F18" s="534">
        <v>65</v>
      </c>
      <c r="G18" s="534">
        <v>50</v>
      </c>
      <c r="H18" s="470"/>
      <c r="J18" s="66" t="s">
        <v>894</v>
      </c>
      <c r="K18" s="66"/>
      <c r="L18" s="66"/>
      <c r="M18" s="66"/>
      <c r="N18" s="66"/>
      <c r="O18" s="66"/>
      <c r="P18" s="66"/>
      <c r="Q18" s="66"/>
      <c r="R18" s="702"/>
      <c r="S18" s="66">
        <f>S17-R17</f>
        <v>1284</v>
      </c>
      <c r="T18" s="66">
        <f>T17-S17</f>
        <v>496</v>
      </c>
      <c r="U18" s="383">
        <f>U17-T17</f>
        <v>578</v>
      </c>
      <c r="V18" s="66">
        <f>V17</f>
        <v>0</v>
      </c>
      <c r="W18" s="66">
        <f>W17-V17</f>
        <v>262</v>
      </c>
      <c r="X18" s="66">
        <f>X17-W17</f>
        <v>210</v>
      </c>
      <c r="Y18" s="383">
        <f>Y17-X17</f>
        <v>4202</v>
      </c>
      <c r="Z18" s="66">
        <f>Z17</f>
        <v>3252</v>
      </c>
      <c r="AA18" s="66">
        <f>AA17-Z17</f>
        <v>6</v>
      </c>
      <c r="AB18" s="66">
        <f>AB17-AA17</f>
        <v>7</v>
      </c>
      <c r="AC18" s="383">
        <f>AC17-AB17</f>
        <v>0</v>
      </c>
      <c r="AD18" s="66">
        <v>0</v>
      </c>
      <c r="AE18" s="814">
        <v>8031</v>
      </c>
      <c r="AF18" s="814">
        <f>AF17-AE17</f>
        <v>994</v>
      </c>
      <c r="AG18" s="998">
        <f>AG17-AF17</f>
        <v>0</v>
      </c>
      <c r="AH18" s="66" t="s">
        <v>999</v>
      </c>
      <c r="AI18" s="66" t="s">
        <v>999</v>
      </c>
      <c r="AJ18" s="66" t="s">
        <v>894</v>
      </c>
      <c r="AL18" s="464" t="s">
        <v>1090</v>
      </c>
      <c r="AM18" s="464" t="s">
        <v>1084</v>
      </c>
      <c r="AN18" s="884">
        <v>0</v>
      </c>
      <c r="AO18" s="884">
        <v>986</v>
      </c>
      <c r="AP18" s="884">
        <v>901</v>
      </c>
      <c r="AQ18" s="884">
        <v>920</v>
      </c>
      <c r="AR18" s="885">
        <f t="shared" si="0"/>
        <v>2807</v>
      </c>
      <c r="AS18" s="464"/>
      <c r="AT18" s="464"/>
    </row>
    <row r="19" spans="1:46" ht="14.15" customHeight="1">
      <c r="A19" s="526" t="s">
        <v>656</v>
      </c>
      <c r="B19" s="541" t="s">
        <v>657</v>
      </c>
      <c r="C19" s="542"/>
      <c r="D19" s="526" t="s">
        <v>73</v>
      </c>
      <c r="E19" s="526" t="s">
        <v>72</v>
      </c>
      <c r="F19" s="534">
        <v>245</v>
      </c>
      <c r="G19" s="534">
        <v>370</v>
      </c>
      <c r="H19" s="470"/>
      <c r="J19" s="66" t="s">
        <v>895</v>
      </c>
      <c r="K19" s="66"/>
      <c r="L19" s="66"/>
      <c r="M19" s="66"/>
      <c r="N19" s="66">
        <v>1023</v>
      </c>
      <c r="O19" s="66">
        <v>2022</v>
      </c>
      <c r="P19" s="66">
        <v>1361</v>
      </c>
      <c r="Q19" s="66">
        <v>3027</v>
      </c>
      <c r="R19" s="702"/>
      <c r="S19" s="66">
        <v>643</v>
      </c>
      <c r="T19" s="66">
        <v>719</v>
      </c>
      <c r="U19" s="383">
        <v>1023</v>
      </c>
      <c r="V19" s="66">
        <v>0</v>
      </c>
      <c r="W19" s="66">
        <v>72</v>
      </c>
      <c r="X19" s="66">
        <v>316</v>
      </c>
      <c r="Y19" s="383">
        <v>2022</v>
      </c>
      <c r="Z19" s="66">
        <v>1717</v>
      </c>
      <c r="AA19" s="66">
        <v>1729</v>
      </c>
      <c r="AB19" s="66">
        <v>1361</v>
      </c>
      <c r="AC19" s="383">
        <v>1361</v>
      </c>
      <c r="AD19" s="66">
        <v>0</v>
      </c>
      <c r="AE19" s="814">
        <v>2588</v>
      </c>
      <c r="AF19" s="814">
        <v>3063</v>
      </c>
      <c r="AG19" s="998">
        <v>3027</v>
      </c>
      <c r="AH19" s="66" t="s">
        <v>999</v>
      </c>
      <c r="AI19" s="66" t="s">
        <v>999</v>
      </c>
      <c r="AJ19" s="66" t="s">
        <v>895</v>
      </c>
      <c r="AL19" s="628"/>
      <c r="AM19" s="628" t="s">
        <v>647</v>
      </c>
      <c r="AN19" s="886">
        <v>0</v>
      </c>
      <c r="AO19" s="886">
        <v>967.47390396659716</v>
      </c>
      <c r="AP19" s="886">
        <v>836.58386801099914</v>
      </c>
      <c r="AQ19" s="886">
        <v>854.22548120989927</v>
      </c>
      <c r="AR19" s="887">
        <f t="shared" si="0"/>
        <v>2658.2832531874956</v>
      </c>
      <c r="AS19" s="464"/>
      <c r="AT19" s="464"/>
    </row>
    <row r="20" spans="1:46" ht="14.15" customHeight="1">
      <c r="A20" s="530" t="s">
        <v>658</v>
      </c>
      <c r="B20" s="543" t="s">
        <v>659</v>
      </c>
      <c r="C20" s="544"/>
      <c r="D20" s="530" t="s">
        <v>660</v>
      </c>
      <c r="E20" s="530" t="s">
        <v>72</v>
      </c>
      <c r="F20" s="536">
        <v>235</v>
      </c>
      <c r="G20" s="536">
        <v>190</v>
      </c>
      <c r="H20" s="473"/>
      <c r="J20" s="66" t="s">
        <v>896</v>
      </c>
      <c r="K20" s="66"/>
      <c r="L20" s="66"/>
      <c r="M20" s="66"/>
      <c r="N20" s="66"/>
      <c r="O20" s="66"/>
      <c r="P20" s="66"/>
      <c r="Q20" s="66"/>
      <c r="R20" s="702"/>
      <c r="S20" s="66">
        <f>S19-R19</f>
        <v>643</v>
      </c>
      <c r="T20" s="66">
        <f>T19-S19</f>
        <v>76</v>
      </c>
      <c r="U20" s="383">
        <f>U19-T19</f>
        <v>304</v>
      </c>
      <c r="V20" s="66">
        <f>V19</f>
        <v>0</v>
      </c>
      <c r="W20" s="66">
        <f>W19-V19</f>
        <v>72</v>
      </c>
      <c r="X20" s="66">
        <f>X19-W19</f>
        <v>244</v>
      </c>
      <c r="Y20" s="383">
        <f>Y19-X19</f>
        <v>1706</v>
      </c>
      <c r="Z20" s="66">
        <f>Z19</f>
        <v>1717</v>
      </c>
      <c r="AA20" s="66">
        <f>AA19-Z19</f>
        <v>12</v>
      </c>
      <c r="AB20" s="66">
        <f>AB19-AA19</f>
        <v>-368</v>
      </c>
      <c r="AC20" s="383">
        <f>AC19-AB19</f>
        <v>0</v>
      </c>
      <c r="AD20" s="66">
        <v>0</v>
      </c>
      <c r="AE20" s="814">
        <v>2588</v>
      </c>
      <c r="AF20" s="814">
        <f>AF19-AE19</f>
        <v>475</v>
      </c>
      <c r="AG20" s="998">
        <f>AG19-AF19</f>
        <v>-36</v>
      </c>
      <c r="AH20" s="66" t="s">
        <v>999</v>
      </c>
      <c r="AI20" s="66" t="s">
        <v>999</v>
      </c>
      <c r="AJ20" s="66" t="s">
        <v>896</v>
      </c>
      <c r="AL20" s="464" t="s">
        <v>1091</v>
      </c>
      <c r="AM20" s="464" t="s">
        <v>1084</v>
      </c>
      <c r="AN20" s="884">
        <v>0</v>
      </c>
      <c r="AO20" s="890">
        <v>51</v>
      </c>
      <c r="AP20" s="884">
        <v>-10</v>
      </c>
      <c r="AQ20" s="884">
        <v>-44</v>
      </c>
      <c r="AR20" s="885">
        <f t="shared" si="0"/>
        <v>-3</v>
      </c>
      <c r="AS20" s="464"/>
      <c r="AT20" s="464"/>
    </row>
    <row r="21" spans="1:46" ht="14.15" customHeight="1">
      <c r="A21" s="532" t="s">
        <v>661</v>
      </c>
      <c r="B21" s="545" t="s">
        <v>662</v>
      </c>
      <c r="C21" s="546"/>
      <c r="D21" s="532" t="s">
        <v>73</v>
      </c>
      <c r="E21" s="532"/>
      <c r="F21" s="533">
        <v>27</v>
      </c>
      <c r="G21" s="533">
        <v>25</v>
      </c>
      <c r="H21" s="477"/>
      <c r="J21" s="66" t="s">
        <v>897</v>
      </c>
      <c r="K21" s="66"/>
      <c r="L21" s="66"/>
      <c r="M21" s="66"/>
      <c r="N21" s="66">
        <v>1877</v>
      </c>
      <c r="O21" s="66">
        <v>3798</v>
      </c>
      <c r="P21" s="66">
        <v>2848</v>
      </c>
      <c r="Q21" s="66">
        <v>6100</v>
      </c>
      <c r="R21" s="702"/>
      <c r="S21" s="66">
        <v>1099</v>
      </c>
      <c r="T21" s="66">
        <v>1396</v>
      </c>
      <c r="U21" s="383">
        <v>1877</v>
      </c>
      <c r="V21" s="66">
        <v>0</v>
      </c>
      <c r="W21" s="66">
        <v>174</v>
      </c>
      <c r="X21" s="66">
        <v>590</v>
      </c>
      <c r="Y21" s="383">
        <v>3798</v>
      </c>
      <c r="Z21" s="66">
        <v>2393</v>
      </c>
      <c r="AA21" s="66">
        <v>2853</v>
      </c>
      <c r="AB21" s="66">
        <v>2868</v>
      </c>
      <c r="AC21" s="383">
        <v>2848</v>
      </c>
      <c r="AD21" s="66">
        <v>0</v>
      </c>
      <c r="AE21" s="814">
        <v>4099</v>
      </c>
      <c r="AF21" s="814">
        <v>5786</v>
      </c>
      <c r="AG21" s="998">
        <v>6100</v>
      </c>
      <c r="AH21" s="66" t="s">
        <v>999</v>
      </c>
      <c r="AI21" s="66" t="s">
        <v>999</v>
      </c>
      <c r="AJ21" s="66" t="s">
        <v>897</v>
      </c>
      <c r="AL21" s="628"/>
      <c r="AM21" s="628" t="s">
        <v>647</v>
      </c>
      <c r="AN21" s="886">
        <v>0</v>
      </c>
      <c r="AO21" s="886">
        <v>50.04175365344468</v>
      </c>
      <c r="AP21" s="886">
        <v>-9.28505957836847</v>
      </c>
      <c r="AQ21" s="886">
        <v>-40.85426214482127</v>
      </c>
      <c r="AR21" s="887">
        <f t="shared" si="0"/>
        <v>-9.7568069745058494E-2</v>
      </c>
      <c r="AS21" s="464"/>
      <c r="AT21" s="464"/>
    </row>
    <row r="22" spans="1:46" ht="14.15" customHeight="1">
      <c r="A22" s="526" t="s">
        <v>663</v>
      </c>
      <c r="B22" s="541" t="s">
        <v>664</v>
      </c>
      <c r="C22" s="542"/>
      <c r="D22" s="526" t="s">
        <v>73</v>
      </c>
      <c r="E22" s="526"/>
      <c r="F22" s="534">
        <v>60</v>
      </c>
      <c r="G22" s="534">
        <v>50</v>
      </c>
      <c r="H22" s="470"/>
      <c r="J22" s="66" t="s">
        <v>898</v>
      </c>
      <c r="K22" s="66"/>
      <c r="L22" s="66"/>
      <c r="M22" s="66"/>
      <c r="N22" s="66"/>
      <c r="O22" s="66"/>
      <c r="P22" s="66"/>
      <c r="Q22" s="66"/>
      <c r="R22" s="702"/>
      <c r="S22" s="66">
        <f>S21-R21</f>
        <v>1099</v>
      </c>
      <c r="T22" s="66">
        <f>T21-S21</f>
        <v>297</v>
      </c>
      <c r="U22" s="383">
        <f>U21-T21</f>
        <v>481</v>
      </c>
      <c r="V22" s="66">
        <f>V21</f>
        <v>0</v>
      </c>
      <c r="W22" s="66">
        <f>W21-V21</f>
        <v>174</v>
      </c>
      <c r="X22" s="66">
        <f>X21-W21</f>
        <v>416</v>
      </c>
      <c r="Y22" s="383">
        <f>Y21-X21</f>
        <v>3208</v>
      </c>
      <c r="Z22" s="66">
        <f>Z21</f>
        <v>2393</v>
      </c>
      <c r="AA22" s="66">
        <f>AA21-Z21</f>
        <v>460</v>
      </c>
      <c r="AB22" s="66">
        <f>AB21-AA21</f>
        <v>15</v>
      </c>
      <c r="AC22" s="383">
        <f>AC21-AB21</f>
        <v>-20</v>
      </c>
      <c r="AD22" s="66">
        <v>0</v>
      </c>
      <c r="AE22" s="814">
        <v>4099</v>
      </c>
      <c r="AF22" s="814">
        <f>AF21-AE21</f>
        <v>1687</v>
      </c>
      <c r="AG22" s="998">
        <f>AG21-AF21</f>
        <v>314</v>
      </c>
      <c r="AH22" s="66" t="s">
        <v>999</v>
      </c>
      <c r="AI22" s="66" t="s">
        <v>999</v>
      </c>
      <c r="AJ22" s="66" t="s">
        <v>898</v>
      </c>
      <c r="AL22" s="464"/>
      <c r="AM22" s="464"/>
      <c r="AN22" s="464"/>
      <c r="AO22" s="464"/>
      <c r="AP22" s="464"/>
      <c r="AQ22" s="464"/>
      <c r="AR22" s="464"/>
      <c r="AS22" s="464"/>
      <c r="AT22" s="464"/>
    </row>
    <row r="23" spans="1:46" ht="14.15" customHeight="1">
      <c r="A23" s="526" t="s">
        <v>665</v>
      </c>
      <c r="B23" s="541" t="s">
        <v>666</v>
      </c>
      <c r="C23" s="542"/>
      <c r="D23" s="526" t="s">
        <v>71</v>
      </c>
      <c r="E23" s="526"/>
      <c r="F23" s="534">
        <v>210</v>
      </c>
      <c r="G23" s="534">
        <v>60</v>
      </c>
      <c r="H23" s="470"/>
      <c r="J23" s="66"/>
      <c r="K23" s="66"/>
      <c r="L23" s="66"/>
      <c r="M23" s="66"/>
      <c r="N23" s="66"/>
      <c r="O23" s="66"/>
      <c r="P23" s="66"/>
      <c r="Q23" s="66"/>
      <c r="R23" s="702"/>
      <c r="S23" s="66"/>
      <c r="T23" s="66"/>
      <c r="U23" s="383"/>
      <c r="V23" s="66"/>
      <c r="W23" s="66"/>
      <c r="X23" s="66"/>
      <c r="Y23" s="383"/>
      <c r="Z23" s="66"/>
      <c r="AA23" s="66"/>
      <c r="AB23" s="66"/>
      <c r="AC23" s="383"/>
      <c r="AD23" s="66"/>
      <c r="AE23" s="814"/>
      <c r="AF23" s="814"/>
      <c r="AG23" s="998"/>
      <c r="AH23" s="66"/>
      <c r="AI23" s="66"/>
      <c r="AJ23" s="66"/>
      <c r="AL23" s="898"/>
      <c r="AM23" s="464"/>
      <c r="AN23" s="464"/>
      <c r="AO23" s="464"/>
      <c r="AP23" s="464"/>
      <c r="AQ23" s="464"/>
      <c r="AR23" s="464"/>
      <c r="AS23" s="464"/>
      <c r="AT23" s="464"/>
    </row>
    <row r="24" spans="1:46" ht="14.15" customHeight="1">
      <c r="A24" s="526" t="s">
        <v>667</v>
      </c>
      <c r="B24" s="541" t="s">
        <v>668</v>
      </c>
      <c r="C24" s="542"/>
      <c r="D24" s="526" t="s">
        <v>73</v>
      </c>
      <c r="E24" s="526"/>
      <c r="F24" s="534">
        <v>65</v>
      </c>
      <c r="G24" s="534">
        <v>120</v>
      </c>
      <c r="H24" s="470"/>
      <c r="J24" s="637" t="s">
        <v>901</v>
      </c>
      <c r="K24" s="638"/>
      <c r="L24" s="638"/>
      <c r="M24" s="638"/>
      <c r="N24" s="638"/>
      <c r="O24" s="638"/>
      <c r="P24" s="638"/>
      <c r="Q24" s="638"/>
      <c r="R24" s="702"/>
      <c r="S24" s="638"/>
      <c r="T24" s="638"/>
      <c r="U24" s="639"/>
      <c r="V24" s="638"/>
      <c r="W24" s="638"/>
      <c r="X24" s="638"/>
      <c r="Y24" s="639"/>
      <c r="Z24" s="638"/>
      <c r="AA24" s="638"/>
      <c r="AB24" s="638"/>
      <c r="AC24" s="639"/>
      <c r="AD24" s="638"/>
      <c r="AE24" s="638"/>
      <c r="AF24" s="638"/>
      <c r="AG24" s="639"/>
      <c r="AH24" s="638"/>
      <c r="AI24" s="638"/>
      <c r="AJ24" s="637" t="s">
        <v>901</v>
      </c>
      <c r="AL24" s="883"/>
      <c r="AM24" s="883"/>
      <c r="AN24" s="899"/>
      <c r="AO24" s="899"/>
      <c r="AP24" s="899"/>
      <c r="AQ24" s="899"/>
      <c r="AR24" s="883"/>
      <c r="AS24" s="883"/>
      <c r="AT24" s="900"/>
    </row>
    <row r="25" spans="1:46" ht="14.15" customHeight="1">
      <c r="A25" s="526" t="s">
        <v>669</v>
      </c>
      <c r="B25" s="541" t="s">
        <v>670</v>
      </c>
      <c r="C25" s="542"/>
      <c r="D25" s="526" t="s">
        <v>73</v>
      </c>
      <c r="E25" s="526"/>
      <c r="F25" s="534">
        <v>335</v>
      </c>
      <c r="G25" s="534">
        <v>240</v>
      </c>
      <c r="H25" s="470"/>
      <c r="J25" s="66" t="s">
        <v>246</v>
      </c>
      <c r="K25" s="66"/>
      <c r="L25" s="66"/>
      <c r="M25" s="66"/>
      <c r="N25" s="66"/>
      <c r="O25" s="66"/>
      <c r="P25" s="66"/>
      <c r="Q25" s="66"/>
      <c r="R25" s="702"/>
      <c r="S25" s="66"/>
      <c r="T25" s="66"/>
      <c r="U25" s="383"/>
      <c r="V25" s="66"/>
      <c r="W25" s="66"/>
      <c r="X25" s="66"/>
      <c r="Y25" s="383"/>
      <c r="Z25" s="66"/>
      <c r="AA25" s="66"/>
      <c r="AB25" s="66"/>
      <c r="AC25" s="383">
        <v>3</v>
      </c>
      <c r="AD25" s="66">
        <v>1</v>
      </c>
      <c r="AE25" s="805">
        <v>0.2</v>
      </c>
      <c r="AF25" s="805">
        <v>0.2</v>
      </c>
      <c r="AG25" s="999">
        <v>0</v>
      </c>
      <c r="AH25" s="66">
        <v>0</v>
      </c>
      <c r="AI25" s="66">
        <v>0</v>
      </c>
      <c r="AJ25" s="66" t="s">
        <v>246</v>
      </c>
      <c r="AN25" s="464"/>
      <c r="AO25" s="901"/>
      <c r="AP25" s="895"/>
      <c r="AQ25" s="895"/>
      <c r="AR25" s="464"/>
      <c r="AS25" s="464"/>
      <c r="AT25" s="884"/>
    </row>
    <row r="26" spans="1:46" ht="14.15" customHeight="1">
      <c r="A26" s="526" t="s">
        <v>671</v>
      </c>
      <c r="B26" s="541" t="s">
        <v>672</v>
      </c>
      <c r="C26" s="542"/>
      <c r="D26" s="526" t="s">
        <v>73</v>
      </c>
      <c r="E26" s="526"/>
      <c r="F26" s="534">
        <v>110</v>
      </c>
      <c r="G26" s="534">
        <v>50</v>
      </c>
      <c r="H26" s="470"/>
      <c r="J26" s="66" t="s">
        <v>902</v>
      </c>
      <c r="K26" s="66"/>
      <c r="L26" s="66"/>
      <c r="M26" s="66"/>
      <c r="N26" s="66"/>
      <c r="O26" s="66"/>
      <c r="P26" s="66"/>
      <c r="Q26" s="66"/>
      <c r="R26" s="702"/>
      <c r="S26" s="66"/>
      <c r="T26" s="66"/>
      <c r="U26" s="383"/>
      <c r="V26" s="66"/>
      <c r="W26" s="66"/>
      <c r="X26" s="66"/>
      <c r="Y26" s="383"/>
      <c r="Z26" s="66"/>
      <c r="AA26" s="66"/>
      <c r="AB26" s="66"/>
      <c r="AC26" s="383">
        <v>13</v>
      </c>
      <c r="AD26" s="66">
        <v>14</v>
      </c>
      <c r="AE26" s="805">
        <v>31</v>
      </c>
      <c r="AF26" s="805">
        <v>28</v>
      </c>
      <c r="AG26" s="999">
        <v>35</v>
      </c>
      <c r="AH26" s="66">
        <v>32</v>
      </c>
      <c r="AI26" s="66">
        <v>2</v>
      </c>
      <c r="AJ26" s="66" t="s">
        <v>902</v>
      </c>
      <c r="AN26" s="464"/>
      <c r="AO26" s="901"/>
      <c r="AP26" s="895"/>
      <c r="AQ26" s="895"/>
      <c r="AR26" s="464"/>
      <c r="AS26" s="464"/>
      <c r="AT26" s="884"/>
    </row>
    <row r="27" spans="1:46" ht="14.15" customHeight="1">
      <c r="A27" s="526" t="s">
        <v>673</v>
      </c>
      <c r="B27" s="541" t="s">
        <v>674</v>
      </c>
      <c r="C27" s="542"/>
      <c r="D27" s="526" t="s">
        <v>73</v>
      </c>
      <c r="E27" s="526"/>
      <c r="F27" s="534">
        <v>195</v>
      </c>
      <c r="G27" s="534">
        <v>180</v>
      </c>
      <c r="H27" s="470"/>
      <c r="J27" s="803" t="s">
        <v>245</v>
      </c>
      <c r="K27" s="66"/>
      <c r="L27" s="66"/>
      <c r="M27" s="66"/>
      <c r="N27" s="66"/>
      <c r="O27" s="66"/>
      <c r="P27" s="66"/>
      <c r="Q27" s="66"/>
      <c r="R27" s="702"/>
      <c r="S27" s="66"/>
      <c r="T27" s="66"/>
      <c r="U27" s="383"/>
      <c r="V27" s="66"/>
      <c r="W27" s="66"/>
      <c r="X27" s="66"/>
      <c r="Y27" s="383"/>
      <c r="Z27" s="66"/>
      <c r="AA27" s="66"/>
      <c r="AB27" s="66"/>
      <c r="AC27" s="804">
        <v>5</v>
      </c>
      <c r="AD27" s="803">
        <v>2</v>
      </c>
      <c r="AE27" s="846">
        <v>7</v>
      </c>
      <c r="AF27" s="846">
        <v>6</v>
      </c>
      <c r="AG27" s="1000">
        <v>7</v>
      </c>
      <c r="AH27" s="803">
        <v>7</v>
      </c>
      <c r="AI27" s="803">
        <v>0</v>
      </c>
      <c r="AJ27" s="803" t="s">
        <v>245</v>
      </c>
      <c r="AN27" s="464"/>
      <c r="AO27" s="895"/>
      <c r="AP27" s="895"/>
      <c r="AQ27" s="895"/>
      <c r="AR27" s="464"/>
      <c r="AS27" s="464"/>
      <c r="AT27" s="884"/>
    </row>
    <row r="28" spans="1:46" ht="14.15" customHeight="1">
      <c r="A28" s="530" t="s">
        <v>675</v>
      </c>
      <c r="B28" s="543" t="s">
        <v>676</v>
      </c>
      <c r="C28" s="544"/>
      <c r="D28" s="530" t="s">
        <v>73</v>
      </c>
      <c r="E28" s="530"/>
      <c r="F28" s="536">
        <v>135</v>
      </c>
      <c r="G28" s="536">
        <v>200</v>
      </c>
      <c r="H28" s="473"/>
      <c r="AN28" s="464"/>
      <c r="AO28" s="895"/>
      <c r="AP28" s="895"/>
      <c r="AQ28" s="895"/>
      <c r="AR28" s="464"/>
      <c r="AS28" s="464"/>
      <c r="AT28" s="884"/>
    </row>
    <row r="29" spans="1:46" ht="14.15" customHeight="1">
      <c r="A29" s="537" t="s">
        <v>677</v>
      </c>
      <c r="B29" s="547" t="s">
        <v>678</v>
      </c>
      <c r="C29" s="547"/>
      <c r="D29" s="537" t="s">
        <v>73</v>
      </c>
      <c r="E29" s="537"/>
      <c r="F29" s="538"/>
      <c r="G29" s="538">
        <v>-2</v>
      </c>
      <c r="H29" s="475"/>
      <c r="AL29" s="464"/>
      <c r="AN29" s="895"/>
      <c r="AO29" s="901"/>
      <c r="AP29" s="901"/>
      <c r="AQ29" s="901"/>
      <c r="AR29" s="464"/>
      <c r="AS29" s="464"/>
      <c r="AT29" s="884"/>
    </row>
    <row r="30" spans="1:46" ht="14.15" customHeight="1">
      <c r="A30" s="532" t="s">
        <v>679</v>
      </c>
      <c r="B30" s="546"/>
      <c r="C30" s="546" t="s">
        <v>680</v>
      </c>
      <c r="D30" s="532" t="s">
        <v>71</v>
      </c>
      <c r="E30" s="532"/>
      <c r="F30" s="533"/>
      <c r="G30" s="533">
        <v>-40</v>
      </c>
      <c r="H30" s="477"/>
      <c r="AL30" s="464"/>
      <c r="AM30" s="464"/>
      <c r="AN30" s="464"/>
      <c r="AO30" s="464"/>
      <c r="AP30" s="464"/>
      <c r="AQ30" s="464"/>
      <c r="AR30" s="464"/>
      <c r="AS30" s="464"/>
      <c r="AT30" s="464"/>
    </row>
    <row r="31" spans="1:46" ht="14.15" customHeight="1">
      <c r="A31" s="526" t="s">
        <v>681</v>
      </c>
      <c r="B31" s="542"/>
      <c r="C31" s="541" t="s">
        <v>682</v>
      </c>
      <c r="D31" s="526" t="s">
        <v>71</v>
      </c>
      <c r="E31" s="526"/>
      <c r="F31" s="534">
        <v>-275</v>
      </c>
      <c r="G31" s="534">
        <v>-40</v>
      </c>
      <c r="H31" s="470"/>
      <c r="AL31" s="464"/>
      <c r="AM31" s="464"/>
      <c r="AN31" s="464"/>
      <c r="AO31" s="464"/>
      <c r="AP31" s="464"/>
      <c r="AQ31" s="464"/>
      <c r="AR31" s="464"/>
      <c r="AS31" s="464"/>
      <c r="AT31" s="464"/>
    </row>
    <row r="32" spans="1:46" ht="14.15" customHeight="1">
      <c r="A32" s="526" t="s">
        <v>683</v>
      </c>
      <c r="B32" s="541" t="s">
        <v>684</v>
      </c>
      <c r="C32" s="542" t="s">
        <v>113</v>
      </c>
      <c r="D32" s="526" t="s">
        <v>71</v>
      </c>
      <c r="E32" s="526"/>
      <c r="F32" s="534">
        <v>645</v>
      </c>
      <c r="G32" s="534">
        <v>900</v>
      </c>
      <c r="H32" s="470"/>
      <c r="AL32" s="898"/>
      <c r="AM32" s="883"/>
      <c r="AN32" s="899"/>
      <c r="AO32" s="899"/>
      <c r="AP32" s="899"/>
      <c r="AQ32" s="899"/>
      <c r="AR32" s="899"/>
      <c r="AS32" s="464"/>
      <c r="AT32" s="464"/>
    </row>
    <row r="33" spans="1:46" ht="14.15" customHeight="1">
      <c r="A33" s="526" t="s">
        <v>685</v>
      </c>
      <c r="B33" s="541" t="s">
        <v>686</v>
      </c>
      <c r="C33" s="542" t="s">
        <v>113</v>
      </c>
      <c r="D33" s="526" t="s">
        <v>73</v>
      </c>
      <c r="E33" s="526"/>
      <c r="F33" s="534"/>
      <c r="G33" s="534">
        <v>8</v>
      </c>
      <c r="H33" s="470"/>
      <c r="AF33" s="826"/>
      <c r="AG33" s="429"/>
      <c r="AL33" s="464"/>
      <c r="AM33" s="464"/>
      <c r="AN33" s="464"/>
      <c r="AO33" s="884"/>
      <c r="AP33" s="884"/>
      <c r="AQ33" s="884"/>
      <c r="AR33" s="884"/>
      <c r="AS33" s="464"/>
      <c r="AT33" s="464"/>
    </row>
    <row r="34" spans="1:46" ht="14.15" customHeight="1">
      <c r="A34" s="530" t="s">
        <v>687</v>
      </c>
      <c r="B34" s="543" t="s">
        <v>688</v>
      </c>
      <c r="C34" s="544" t="s">
        <v>113</v>
      </c>
      <c r="D34" s="530" t="s">
        <v>71</v>
      </c>
      <c r="E34" s="530"/>
      <c r="F34" s="536">
        <v>580</v>
      </c>
      <c r="G34" s="536">
        <v>250</v>
      </c>
      <c r="H34" s="473"/>
      <c r="AL34" s="464"/>
      <c r="AM34" s="464"/>
      <c r="AN34" s="464"/>
      <c r="AO34" s="884"/>
      <c r="AP34" s="884"/>
      <c r="AQ34" s="884"/>
      <c r="AR34" s="884"/>
      <c r="AS34" s="464"/>
      <c r="AT34" s="464"/>
    </row>
    <row r="35" spans="1:46" ht="14.15" customHeight="1">
      <c r="A35" s="532" t="s">
        <v>689</v>
      </c>
      <c r="B35" s="545" t="s">
        <v>690</v>
      </c>
      <c r="C35" s="546" t="s">
        <v>113</v>
      </c>
      <c r="D35" s="532" t="s">
        <v>73</v>
      </c>
      <c r="E35" s="532"/>
      <c r="F35" s="533"/>
      <c r="G35" s="533">
        <v>6</v>
      </c>
      <c r="H35" s="477"/>
      <c r="AL35" s="464"/>
      <c r="AM35" s="464"/>
      <c r="AN35" s="464"/>
      <c r="AO35" s="884"/>
      <c r="AP35" s="884"/>
      <c r="AQ35" s="884"/>
      <c r="AR35" s="884"/>
      <c r="AS35" s="464"/>
      <c r="AT35" s="464"/>
    </row>
    <row r="36" spans="1:46" ht="14.15" customHeight="1">
      <c r="A36" s="526" t="s">
        <v>691</v>
      </c>
      <c r="B36" s="541" t="s">
        <v>692</v>
      </c>
      <c r="C36" s="542" t="s">
        <v>113</v>
      </c>
      <c r="D36" s="526" t="s">
        <v>73</v>
      </c>
      <c r="E36" s="526"/>
      <c r="F36" s="534">
        <v>55</v>
      </c>
      <c r="G36" s="534"/>
      <c r="H36" s="535">
        <v>0.34</v>
      </c>
      <c r="AL36" s="883"/>
      <c r="AM36" s="883"/>
      <c r="AN36" s="883"/>
      <c r="AO36" s="902"/>
      <c r="AP36" s="902"/>
      <c r="AQ36" s="902"/>
      <c r="AR36" s="902"/>
      <c r="AS36" s="883"/>
      <c r="AT36" s="883"/>
    </row>
    <row r="37" spans="1:46" ht="14.15" customHeight="1">
      <c r="A37" s="526" t="s">
        <v>693</v>
      </c>
      <c r="B37" s="541" t="s">
        <v>694</v>
      </c>
      <c r="C37" s="542" t="s">
        <v>113</v>
      </c>
      <c r="D37" s="526" t="s">
        <v>73</v>
      </c>
      <c r="E37" s="526"/>
      <c r="F37" s="534">
        <v>50</v>
      </c>
      <c r="G37" s="534">
        <v>26</v>
      </c>
      <c r="H37" s="470"/>
      <c r="AL37" s="464"/>
      <c r="AM37" s="464"/>
      <c r="AN37" s="464"/>
      <c r="AO37" s="884"/>
      <c r="AP37" s="884"/>
      <c r="AQ37" s="884"/>
      <c r="AR37" s="884"/>
      <c r="AS37" s="464"/>
      <c r="AT37" s="464"/>
    </row>
    <row r="38" spans="1:46" ht="14.15" customHeight="1">
      <c r="A38" s="526" t="s">
        <v>695</v>
      </c>
      <c r="B38" s="541" t="s">
        <v>696</v>
      </c>
      <c r="C38" s="542" t="s">
        <v>113</v>
      </c>
      <c r="D38" s="526" t="s">
        <v>73</v>
      </c>
      <c r="E38" s="526"/>
      <c r="F38" s="534">
        <v>90</v>
      </c>
      <c r="G38" s="534">
        <v>37</v>
      </c>
      <c r="H38" s="470"/>
      <c r="AL38" s="464"/>
      <c r="AM38" s="464"/>
      <c r="AN38" s="464"/>
      <c r="AO38" s="884"/>
      <c r="AP38" s="884"/>
      <c r="AQ38" s="884"/>
      <c r="AR38" s="884"/>
      <c r="AS38" s="464"/>
      <c r="AT38" s="464"/>
    </row>
    <row r="39" spans="1:46" ht="14.15" customHeight="1">
      <c r="A39" s="526" t="s">
        <v>695</v>
      </c>
      <c r="B39" s="541" t="s">
        <v>697</v>
      </c>
      <c r="C39" s="542" t="s">
        <v>113</v>
      </c>
      <c r="D39" s="526" t="s">
        <v>73</v>
      </c>
      <c r="E39" s="526"/>
      <c r="F39" s="534"/>
      <c r="G39" s="534">
        <v>35</v>
      </c>
      <c r="H39" s="470"/>
      <c r="AL39" s="464"/>
      <c r="AM39" s="464"/>
      <c r="AN39" s="464"/>
      <c r="AO39" s="884"/>
      <c r="AP39" s="884"/>
      <c r="AQ39" s="884"/>
      <c r="AR39" s="884"/>
      <c r="AS39" s="464"/>
      <c r="AT39" s="464"/>
    </row>
    <row r="40" spans="1:46" ht="14.15" customHeight="1">
      <c r="A40" s="530" t="s">
        <v>698</v>
      </c>
      <c r="B40" s="543" t="s">
        <v>699</v>
      </c>
      <c r="C40" s="544" t="s">
        <v>113</v>
      </c>
      <c r="D40" s="530" t="s">
        <v>71</v>
      </c>
      <c r="E40" s="530"/>
      <c r="F40" s="536"/>
      <c r="G40" s="536">
        <v>22</v>
      </c>
      <c r="H40" s="473"/>
      <c r="AL40" s="883"/>
      <c r="AM40" s="883"/>
      <c r="AN40" s="883"/>
      <c r="AO40" s="903"/>
      <c r="AP40" s="903"/>
      <c r="AQ40" s="903"/>
      <c r="AR40" s="903"/>
      <c r="AS40" s="464"/>
      <c r="AT40" s="464"/>
    </row>
    <row r="41" spans="1:46" ht="14.15" customHeight="1">
      <c r="A41" s="532" t="s">
        <v>700</v>
      </c>
      <c r="B41" s="545" t="s">
        <v>701</v>
      </c>
      <c r="C41" s="546" t="s">
        <v>113</v>
      </c>
      <c r="D41" s="532" t="s">
        <v>73</v>
      </c>
      <c r="E41" s="532"/>
      <c r="F41" s="533">
        <v>30</v>
      </c>
      <c r="G41" s="533"/>
      <c r="H41" s="630">
        <v>1</v>
      </c>
      <c r="AL41" s="464"/>
      <c r="AM41" s="464"/>
      <c r="AN41" s="464"/>
      <c r="AO41" s="904"/>
      <c r="AP41" s="904"/>
      <c r="AQ41" s="464"/>
      <c r="AR41" s="464"/>
      <c r="AS41" s="464"/>
      <c r="AT41" s="464"/>
    </row>
    <row r="42" spans="1:46" ht="17.149999999999999" customHeight="1">
      <c r="A42" s="530" t="s">
        <v>702</v>
      </c>
      <c r="B42" s="543" t="s">
        <v>703</v>
      </c>
      <c r="C42" s="544" t="s">
        <v>113</v>
      </c>
      <c r="D42" s="530" t="s">
        <v>71</v>
      </c>
      <c r="E42" s="530"/>
      <c r="F42" s="536">
        <v>110</v>
      </c>
      <c r="G42" s="536">
        <v>38</v>
      </c>
      <c r="H42" s="473"/>
      <c r="AL42" s="464"/>
      <c r="AM42" s="464"/>
      <c r="AN42" s="464"/>
      <c r="AO42" s="464"/>
      <c r="AP42" s="464"/>
      <c r="AQ42" s="464"/>
      <c r="AR42" s="464"/>
      <c r="AS42" s="464"/>
      <c r="AT42" s="464"/>
    </row>
    <row r="43" spans="1:46" ht="14.15" customHeight="1">
      <c r="A43" s="537" t="s">
        <v>704</v>
      </c>
      <c r="B43" s="548" t="s">
        <v>705</v>
      </c>
      <c r="C43" s="547" t="s">
        <v>113</v>
      </c>
      <c r="D43" s="537" t="s">
        <v>73</v>
      </c>
      <c r="E43" s="537"/>
      <c r="F43" s="538"/>
      <c r="G43" s="538">
        <v>19</v>
      </c>
      <c r="H43" s="475"/>
      <c r="AL43" s="464"/>
      <c r="AM43" s="464"/>
      <c r="AN43" s="464"/>
      <c r="AO43" s="464"/>
      <c r="AP43" s="464"/>
      <c r="AQ43" s="464"/>
      <c r="AR43" s="464"/>
      <c r="AS43" s="464"/>
      <c r="AT43" s="464"/>
    </row>
    <row r="44" spans="1:46" ht="14.15" customHeight="1">
      <c r="A44" s="532" t="s">
        <v>706</v>
      </c>
      <c r="B44" s="545" t="s">
        <v>707</v>
      </c>
      <c r="C44" s="546" t="s">
        <v>113</v>
      </c>
      <c r="D44" s="532" t="s">
        <v>71</v>
      </c>
      <c r="E44" s="532"/>
      <c r="F44" s="533">
        <v>230</v>
      </c>
      <c r="G44" s="533">
        <v>75</v>
      </c>
      <c r="H44" s="477"/>
      <c r="AL44" s="464"/>
      <c r="AM44" s="464"/>
      <c r="AN44" s="464"/>
      <c r="AO44" s="464"/>
      <c r="AP44" s="464"/>
      <c r="AQ44" s="464"/>
      <c r="AR44" s="464"/>
      <c r="AS44" s="464"/>
      <c r="AT44" s="464"/>
    </row>
    <row r="45" spans="1:46" ht="14.15" customHeight="1">
      <c r="A45" s="526" t="s">
        <v>708</v>
      </c>
      <c r="B45" s="541" t="s">
        <v>709</v>
      </c>
      <c r="C45" s="542" t="s">
        <v>113</v>
      </c>
      <c r="D45" s="526" t="s">
        <v>73</v>
      </c>
      <c r="E45" s="526"/>
      <c r="F45" s="534">
        <v>190</v>
      </c>
      <c r="G45" s="534">
        <v>45</v>
      </c>
      <c r="H45" s="470"/>
      <c r="AL45" s="905"/>
      <c r="AM45" s="464"/>
      <c r="AN45" s="899"/>
      <c r="AO45" s="899"/>
      <c r="AP45" s="899"/>
      <c r="AQ45" s="899"/>
      <c r="AR45" s="899"/>
      <c r="AS45" s="464"/>
      <c r="AT45" s="464"/>
    </row>
    <row r="46" spans="1:46" ht="14.15" customHeight="1">
      <c r="A46" s="530" t="s">
        <v>710</v>
      </c>
      <c r="B46" s="543" t="s">
        <v>711</v>
      </c>
      <c r="C46" s="544" t="s">
        <v>113</v>
      </c>
      <c r="D46" s="530" t="s">
        <v>71</v>
      </c>
      <c r="E46" s="530"/>
      <c r="F46" s="536">
        <v>420</v>
      </c>
      <c r="G46" s="536">
        <v>687</v>
      </c>
      <c r="H46" s="473"/>
      <c r="AL46" s="464"/>
      <c r="AM46" s="464"/>
      <c r="AN46" s="884"/>
      <c r="AO46" s="884"/>
      <c r="AP46" s="884"/>
      <c r="AQ46" s="884"/>
      <c r="AR46" s="902"/>
      <c r="AS46" s="464"/>
      <c r="AT46" s="464"/>
    </row>
    <row r="47" spans="1:46" ht="14.15" customHeight="1">
      <c r="A47" s="532" t="s">
        <v>712</v>
      </c>
      <c r="B47" s="545" t="s">
        <v>713</v>
      </c>
      <c r="C47" s="546" t="s">
        <v>113</v>
      </c>
      <c r="D47" s="532" t="s">
        <v>71</v>
      </c>
      <c r="E47" s="532"/>
      <c r="F47" s="533">
        <v>45</v>
      </c>
      <c r="G47" s="533">
        <v>20</v>
      </c>
      <c r="H47" s="477"/>
      <c r="AL47" s="464"/>
      <c r="AM47" s="464"/>
      <c r="AN47" s="884"/>
      <c r="AO47" s="884"/>
      <c r="AP47" s="884"/>
      <c r="AQ47" s="884"/>
      <c r="AR47" s="902"/>
      <c r="AS47" s="464"/>
      <c r="AT47" s="464"/>
    </row>
    <row r="48" spans="1:46" ht="14.15" customHeight="1">
      <c r="A48" s="526" t="s">
        <v>714</v>
      </c>
      <c r="B48" s="542" t="s">
        <v>715</v>
      </c>
      <c r="C48" s="542" t="s">
        <v>113</v>
      </c>
      <c r="D48" s="526" t="s">
        <v>73</v>
      </c>
      <c r="E48" s="526"/>
      <c r="F48" s="534"/>
      <c r="G48" s="534">
        <v>15</v>
      </c>
      <c r="H48" s="470"/>
      <c r="AL48" s="464"/>
      <c r="AM48" s="464"/>
      <c r="AN48" s="884"/>
      <c r="AO48" s="884"/>
      <c r="AP48" s="884"/>
      <c r="AQ48" s="884"/>
      <c r="AR48" s="902"/>
      <c r="AS48" s="464"/>
      <c r="AT48" s="464"/>
    </row>
    <row r="49" spans="1:46" ht="10.5">
      <c r="A49" s="526" t="s">
        <v>714</v>
      </c>
      <c r="B49" s="541" t="s">
        <v>716</v>
      </c>
      <c r="C49" s="542" t="s">
        <v>113</v>
      </c>
      <c r="D49" s="526" t="s">
        <v>73</v>
      </c>
      <c r="E49" s="526"/>
      <c r="F49" s="534">
        <v>230</v>
      </c>
      <c r="G49" s="534">
        <v>113</v>
      </c>
      <c r="H49" s="470"/>
      <c r="AL49" s="464"/>
      <c r="AM49" s="464"/>
      <c r="AN49" s="884"/>
      <c r="AO49" s="884"/>
      <c r="AP49" s="884"/>
      <c r="AQ49" s="884"/>
      <c r="AR49" s="902"/>
      <c r="AS49" s="464"/>
      <c r="AT49" s="464"/>
    </row>
    <row r="50" spans="1:46" ht="10.5">
      <c r="A50" s="530" t="s">
        <v>717</v>
      </c>
      <c r="B50" s="543" t="s">
        <v>718</v>
      </c>
      <c r="C50" s="544" t="s">
        <v>113</v>
      </c>
      <c r="D50" s="530" t="s">
        <v>73</v>
      </c>
      <c r="E50" s="530"/>
      <c r="F50" s="536">
        <v>90</v>
      </c>
      <c r="G50" s="536">
        <v>43</v>
      </c>
      <c r="H50" s="473"/>
      <c r="AL50" s="464"/>
      <c r="AM50" s="464"/>
      <c r="AN50" s="896"/>
      <c r="AO50" s="896"/>
      <c r="AP50" s="896"/>
      <c r="AQ50" s="896"/>
      <c r="AR50" s="897"/>
      <c r="AS50" s="464"/>
      <c r="AT50" s="464"/>
    </row>
    <row r="51" spans="1:46" ht="10.5">
      <c r="A51" s="487"/>
      <c r="B51" s="549"/>
      <c r="C51" s="549"/>
      <c r="D51" s="487"/>
      <c r="E51" s="487"/>
      <c r="F51" s="539"/>
      <c r="G51" s="539"/>
      <c r="H51" s="470"/>
      <c r="AL51" s="464"/>
      <c r="AM51" s="464"/>
      <c r="AN51" s="896"/>
      <c r="AO51" s="896"/>
      <c r="AP51" s="896"/>
      <c r="AQ51" s="896"/>
      <c r="AR51" s="897"/>
      <c r="AS51" s="464"/>
      <c r="AT51" s="464"/>
    </row>
    <row r="52" spans="1:46" ht="10.5">
      <c r="A52" s="320"/>
      <c r="B52" s="322"/>
      <c r="C52" s="322"/>
      <c r="D52" s="320"/>
      <c r="E52" s="320"/>
      <c r="F52" s="517"/>
      <c r="G52" s="517"/>
      <c r="H52" s="468"/>
      <c r="AL52" s="464"/>
      <c r="AM52" s="464"/>
      <c r="AN52" s="884"/>
      <c r="AO52" s="884"/>
      <c r="AP52" s="884"/>
      <c r="AQ52" s="884"/>
      <c r="AR52" s="902"/>
      <c r="AS52" s="464"/>
      <c r="AT52" s="464"/>
    </row>
    <row r="53" spans="1:46" ht="10.5">
      <c r="A53" s="320"/>
      <c r="B53" s="322"/>
      <c r="C53" s="322"/>
      <c r="D53" s="320"/>
      <c r="E53" s="320"/>
      <c r="F53" s="517"/>
      <c r="G53" s="517"/>
      <c r="H53" s="468"/>
      <c r="AL53" s="464"/>
      <c r="AM53" s="464"/>
      <c r="AN53" s="884"/>
      <c r="AO53" s="884"/>
      <c r="AP53" s="884"/>
      <c r="AQ53" s="884"/>
      <c r="AR53" s="902"/>
      <c r="AS53" s="464"/>
      <c r="AT53" s="464"/>
    </row>
    <row r="54" spans="1:46" ht="10.5">
      <c r="A54" s="320"/>
      <c r="B54" s="320"/>
      <c r="C54" s="320"/>
      <c r="D54" s="320"/>
      <c r="E54" s="320"/>
      <c r="F54" s="517"/>
      <c r="G54" s="517"/>
      <c r="H54" s="468"/>
      <c r="AL54" s="464"/>
      <c r="AM54" s="464"/>
      <c r="AN54" s="896"/>
      <c r="AO54" s="896"/>
      <c r="AP54" s="896"/>
      <c r="AQ54" s="896"/>
      <c r="AR54" s="897"/>
      <c r="AS54" s="464"/>
      <c r="AT54" s="464"/>
    </row>
    <row r="55" spans="1:46" ht="10.5">
      <c r="A55" s="320"/>
      <c r="B55" s="320"/>
      <c r="C55" s="320"/>
      <c r="D55" s="320"/>
      <c r="E55" s="320"/>
      <c r="F55" s="518"/>
      <c r="G55" s="518"/>
      <c r="H55" s="468"/>
      <c r="AL55" s="464"/>
      <c r="AM55" s="464"/>
      <c r="AN55" s="896"/>
      <c r="AO55" s="896"/>
      <c r="AP55" s="896"/>
      <c r="AQ55" s="896"/>
      <c r="AR55" s="897"/>
      <c r="AS55" s="464"/>
      <c r="AT55" s="464"/>
    </row>
    <row r="56" spans="1:46">
      <c r="A56" s="320"/>
      <c r="B56" s="320"/>
      <c r="C56" s="320"/>
      <c r="D56" s="320"/>
      <c r="E56" s="320"/>
      <c r="F56" s="518"/>
      <c r="G56" s="518"/>
      <c r="H56" s="468"/>
      <c r="AL56" s="464"/>
      <c r="AM56" s="464"/>
      <c r="AN56" s="464"/>
      <c r="AO56" s="464"/>
      <c r="AP56" s="464"/>
      <c r="AQ56" s="464"/>
      <c r="AR56" s="464"/>
      <c r="AS56" s="464"/>
      <c r="AT56" s="464"/>
    </row>
    <row r="57" spans="1:46">
      <c r="A57" s="320"/>
      <c r="B57" s="320"/>
      <c r="C57" s="320"/>
      <c r="D57" s="320"/>
      <c r="E57" s="320"/>
      <c r="F57" s="518"/>
      <c r="G57" s="518"/>
      <c r="H57" s="468"/>
      <c r="AL57" s="464"/>
      <c r="AM57" s="464"/>
      <c r="AN57" s="464"/>
      <c r="AO57" s="464"/>
      <c r="AP57" s="464"/>
      <c r="AQ57" s="464"/>
      <c r="AR57" s="464"/>
      <c r="AS57" s="464"/>
      <c r="AT57" s="464"/>
    </row>
    <row r="58" spans="1:46">
      <c r="A58" s="320"/>
      <c r="B58" s="320"/>
      <c r="C58" s="320"/>
      <c r="D58" s="320"/>
      <c r="E58" s="320"/>
      <c r="F58" s="518"/>
      <c r="G58" s="518"/>
      <c r="H58" s="468"/>
      <c r="AL58" s="464"/>
      <c r="AM58" s="464"/>
      <c r="AN58" s="896"/>
      <c r="AO58" s="896"/>
      <c r="AP58" s="896"/>
      <c r="AQ58" s="896"/>
      <c r="AR58" s="896"/>
      <c r="AS58" s="464"/>
      <c r="AT58" s="464"/>
    </row>
    <row r="59" spans="1:46">
      <c r="A59" s="320"/>
      <c r="B59" s="320"/>
      <c r="C59" s="320"/>
      <c r="D59" s="320"/>
      <c r="E59" s="320"/>
      <c r="F59" s="518"/>
      <c r="G59" s="518"/>
      <c r="H59" s="468"/>
      <c r="AL59" s="464"/>
      <c r="AM59" s="464"/>
      <c r="AN59" s="896"/>
      <c r="AO59" s="896"/>
      <c r="AP59" s="896"/>
      <c r="AQ59" s="896"/>
      <c r="AR59" s="896"/>
      <c r="AS59" s="464"/>
      <c r="AT59" s="464"/>
    </row>
    <row r="60" spans="1:46">
      <c r="A60" s="320"/>
      <c r="B60" s="320"/>
      <c r="C60" s="320"/>
      <c r="D60" s="320"/>
      <c r="E60" s="320"/>
      <c r="F60" s="518"/>
      <c r="G60" s="518"/>
      <c r="H60" s="468"/>
      <c r="AL60" s="464"/>
      <c r="AM60" s="464"/>
      <c r="AN60" s="464"/>
      <c r="AO60" s="464"/>
      <c r="AP60" s="464"/>
      <c r="AQ60" s="464"/>
      <c r="AR60" s="464"/>
      <c r="AS60" s="464"/>
      <c r="AT60" s="464"/>
    </row>
    <row r="61" spans="1:46">
      <c r="AL61" s="898"/>
      <c r="AM61" s="898"/>
      <c r="AN61" s="906"/>
      <c r="AO61" s="906"/>
      <c r="AP61" s="906"/>
      <c r="AQ61" s="906"/>
      <c r="AR61" s="906"/>
      <c r="AS61" s="464"/>
      <c r="AT61" s="464"/>
    </row>
    <row r="62" spans="1:46">
      <c r="AL62" s="898"/>
      <c r="AM62" s="898"/>
      <c r="AN62" s="906"/>
      <c r="AO62" s="906"/>
      <c r="AP62" s="906"/>
      <c r="AQ62" s="906"/>
      <c r="AR62" s="906"/>
      <c r="AS62" s="464"/>
      <c r="AT62" s="464"/>
    </row>
    <row r="63" spans="1:46">
      <c r="AL63" s="464"/>
      <c r="AM63" s="464"/>
      <c r="AN63" s="464"/>
      <c r="AO63" s="464"/>
      <c r="AP63" s="464"/>
      <c r="AQ63" s="464"/>
      <c r="AR63" s="464"/>
      <c r="AS63" s="464"/>
      <c r="AT63" s="464"/>
    </row>
    <row r="64" spans="1:46">
      <c r="AL64" s="464"/>
      <c r="AM64" s="464"/>
      <c r="AN64" s="464"/>
      <c r="AO64" s="464"/>
      <c r="AP64" s="464"/>
      <c r="AQ64" s="464"/>
      <c r="AR64" s="464"/>
      <c r="AS64" s="464"/>
      <c r="AT64" s="464"/>
    </row>
    <row r="65" spans="38:46">
      <c r="AL65" s="464"/>
      <c r="AM65" s="464"/>
      <c r="AN65" s="464"/>
      <c r="AO65" s="464"/>
      <c r="AP65" s="464"/>
      <c r="AQ65" s="464"/>
      <c r="AR65" s="464"/>
      <c r="AS65" s="464"/>
      <c r="AT65" s="464"/>
    </row>
  </sheetData>
  <hyperlinks>
    <hyperlink ref="B15" r:id="rId1" display="https://www.epirocgroup.com/en/media/corporate-press-releases/2022/20221201-epiroc-completes-acquisition-of-leading-provider-of-mining-automation-solutions" xr:uid="{BB44C81A-9ABA-4E13-854D-02B0F62BA380}"/>
    <hyperlink ref="B16" r:id="rId2" display="https://www.epirocgroup.com/en/media/corporate-press-releases/2022/20221104-epiroc-completes-acquisition-of-u-s--manufacturer-of-excavator-attachments" xr:uid="{886C7ED0-0BFD-4169-A5C3-35D9D87A1E7C}"/>
    <hyperlink ref="B17" r:id="rId3" display="https://www.epirocgroup.com/en/media/corporate-press-releases/2022/20221101-epiroc-completes-acquisition-of-majority-ownership-in-australian-mine-connectivity-provider" xr:uid="{DA46FCB5-3DA1-4D18-B629-6945B7DF83D9}"/>
    <hyperlink ref="B18" r:id="rId4" display="https://www.epirocgroup.com/en/media/corporate-press-releases/2022/20221014-epiroc-completes-acquisition-of-australian-provider-of-digital-core-imaging-solutions-for-mining-companies" xr:uid="{4CEF070D-F3C7-40E2-AF51-CE42D11668CB}"/>
    <hyperlink ref="B19" r:id="rId5" display="https://www.epirocgroup.com/en/media/corporate-press-releases/2022/20220610-epiroc-to-acquire-manufacturer-of-rock-drills" xr:uid="{3702F8AC-A6A9-4A08-B2AD-4E67A33C675B}"/>
    <hyperlink ref="B20" r:id="rId6" display="https://www.epirocgroup.com/en/media/corporate-press-releases/2022/20220601-epiroc-completes-acquisition-of-australian-mining-electrification-infrastructure-provider" xr:uid="{AFF87694-81AB-449E-A804-EFDB084FE20B}"/>
    <hyperlink ref="B21" r:id="rId7" display="https://www.epirocgroup.com/en/media/corporate-press-releases/2021/20211103-epiroc-completes-acquisition-of-specialist-in-mining-vehicle-battery-conversions" xr:uid="{8862CA16-C09B-4478-B212-86D12EA08A43}"/>
    <hyperlink ref="B22" r:id="rId8" display="https://www.epirocgroup.com/en/media/corporate-press-releases/2021/20211102-epiroc-acquires-remaining-share-of-mobilaris-mce" xr:uid="{DCD11CF4-0C2D-4EE4-8856-DC2EBBE2C1F0}"/>
    <hyperlink ref="B23" r:id="rId9" display="https://www.epirocgroup.com/en/media/corporate-press-releases/2021/20210427-epiroc-to-acquire-south-korean-hydraulic-breaker-manufacturer" xr:uid="{2E18B4B8-8944-4FEA-893F-3D8CF447B6A9}"/>
    <hyperlink ref="B24" r:id="rId10" display="https://www.epirocgroup.com/en/media/corporate-press-releases/2021/20210707-epiroc-acquires-chilean-provider-of-intelligent-mining-solutions" xr:uid="{C28DD949-2000-482A-B90C-E9D95F95847C}"/>
    <hyperlink ref="B25" r:id="rId11" display="https://www.epirocgroup.com/en/media/corporate-press-releases/2021/20210331-epiroc-to-acquire-mining-electrification-solutions-provider" xr:uid="{ABE8A74D-2807-49B4-8F0B-E15E73E13B72}"/>
    <hyperlink ref="B26" r:id="rId12" display="https://www.epirocgroup.com/en/media/corporate-press-releases/2021/20210607-epiroc-acquires-canadian-mine-connectivity-provider" xr:uid="{7CFDCDE4-69E4-4E7B-96B7-ED5322A5C181}"/>
    <hyperlink ref="B27" r:id="rId13" display="https://www.epirocgroup.com/en/media/corporate-press-releases/2021/20210528-epiroc-to-acquire-australian-mining-logging-company" xr:uid="{0D3EDF2F-F9D1-4F63-8A33-CD87B4A0A8E3}"/>
    <hyperlink ref="B28" r:id="rId14" display="https://www.epirocgroup.com/en/media/corporate-press-releases/2020/20201222-epiroc-to-acquire-software-company-for-increased-mine-productivity" xr:uid="{F29B09DE-01D9-4ED0-8AA8-4F09E906ACB5}"/>
    <hyperlink ref="C31" r:id="rId15" display="https://author-epiroc-prod.adobecqms.net/content/corporate/en/media/corporate-press-releases/2019/20190903-epiroc-completes-divestment-of-geotechnical-consumables-product-line-to-mimir-invest.html" xr:uid="{1022758C-0512-484B-AB66-00D93E1E91AE}"/>
    <hyperlink ref="B32" r:id="rId16" display="https://author-epiroc-prod.adobecqms.net/content/corporate/en/media/corporate-press-releases/2019/20190402-epiroc-completes-acquisition-of-south-african-underground-rock-reinforcement-products-manufacturer-new-concept-mining.html" xr:uid="{C3EA3474-F7F6-4145-88B8-1B21B31D1872}"/>
    <hyperlink ref="B33" r:id="rId17" display="https://author-epiroc-prod.adobecqms.net/content/corporate/en/media/corporate-press-releases/2019/20190201-epiroc-acquires-us-water-well-drilling-equipment-distributor.html" xr:uid="{46806A5D-DDFB-4B3C-B626-D77EB801B3E8}"/>
    <hyperlink ref="B34" r:id="rId18" display="https://author-epiroc-prod.adobecqms.net/content/corporate/en/media/corporate-press-releases/2019/20190103_epiroc_completes_acquisition_of_canadian_exploration_tools_manufacturer.html" xr:uid="{3B31810B-8F43-4E4E-B5AE-5BCE48DB84BE}"/>
    <hyperlink ref="B35" r:id="rId19" display="https://www.epirocgroup.com/en/media/corporate-press-releases/2018/20181102-epiroc-acquires-mining-equipment-distributor-in-estonia" xr:uid="{A71E2DD6-335C-4FE3-BD85-E4D5996FA8D4}"/>
    <hyperlink ref="B36" r:id="rId20" display="https://www.epirocgroup.com/en/media/corporate-press-releases/2018/20181030-epiroc-invests-in-autonomous-mining-solutions-business" xr:uid="{296CC15D-C638-4510-85F6-2162532D9814}"/>
    <hyperlink ref="B37" r:id="rId21" display="https://www.epirocgroup.com/en/media/corporate-press-releases/2018/20180110-acquisition" xr:uid="{1CBAF957-B75A-4C42-BBFF-FEBBF9E1C110}"/>
    <hyperlink ref="B38" r:id="rId22" display="https://www.epirocgroup.com/en/media/corporate-press-releases/2017/20171206-acquisition" xr:uid="{75B29FAC-6655-4354-9CF0-23F21D782016}"/>
    <hyperlink ref="B39" r:id="rId23" display="https://www.epirocgroup.com/en/media/corporate-press-releases/2017/20171201-acquisition" xr:uid="{1F8DD0E3-CC1D-490C-8770-09B29BC78E66}"/>
    <hyperlink ref="B40" r:id="rId24" display="https://www.epirocgroup.com/en/media/corporate-press-releases/2017/20171204-acquisition" xr:uid="{AB500517-B358-4344-82CF-4FB83516316C}"/>
    <hyperlink ref="B41" r:id="rId25" display="https://www.epirocgroup.com/en/media/corporate-press-releases/2017/170704-atlas-copco-completes-acquisition-of-swedish-mining-intelligence-business" xr:uid="{A6A8444E-5A0B-4CA9-90B9-287778D0FC04}"/>
    <hyperlink ref="B42" r:id="rId26" display="https://www.epirocgroup.com/en/media/corporate-press-releases/2017/20170202-acquisition" xr:uid="{172DCAAB-5764-4293-94E1-25212A74E99D}"/>
    <hyperlink ref="B43" r:id="rId27" display="http://www.epirocgroup.com/en/media/corporate-press-releases/2014/140203-atlas-copco-completes-acquisition-of-geawelltech" xr:uid="{5373E0E4-643C-406A-8705-A53579248532}"/>
    <hyperlink ref="B44" r:id="rId28" display="http://www.epirocgroup.com/en/media/corporate-press-releases/2013/131017-atlas-copco-buys-us-oil-and-gas-service-business" xr:uid="{A99A84FE-E90E-47D2-94E1-08007B25A89D}"/>
    <hyperlink ref="B45" r:id="rId29" display="https://www.atlascopcogroup.com/en/media/corporate-press-releases/2013/130403_Meyco_Acquisition" xr:uid="{14E88C6F-CAF7-44DB-966D-1428A7DEE208}"/>
    <hyperlink ref="B46" r:id="rId30" display="http://www.epirocgroup.com/en/media/corporate-press-releases/2013/130305-atlas-copco-buys-chinese-rock-drilling-tools-business" xr:uid="{C47126A7-DACA-4921-8684-EB008C7ECD3A}"/>
    <hyperlink ref="B47" r:id="rId31" display="http://www.epirocgroup.com/en/media/corporate-press-releases/2012/120925-atlas-copco-acquires-us-manufacturer-of-drill-bits" xr:uid="{A54DD220-B4C6-4359-B283-D673C844C70D}"/>
    <hyperlink ref="B49" r:id="rId32" display="http://www.atlascopco.com/us/News/CorporateNews/120131_Atlas_Copco_closes_GIA_acquisition.aspx" xr:uid="{932E40D8-B587-478A-BEF2-B36A8A844102}"/>
    <hyperlink ref="B50" r:id="rId33" display="http://www.atlascopcogroup.com/content/corporate/en/media/corporate-press-releases/2012/120112_Atlas_Copco_acquires_Perfora.html" xr:uid="{3E90A4F3-53DE-4465-9952-9242BCE853CF}"/>
    <hyperlink ref="B13" r:id="rId34" xr:uid="{1813489F-4107-492E-88C1-93878F1620CE}"/>
    <hyperlink ref="B12" r:id="rId35" xr:uid="{C845F01A-25ED-4A64-828D-F1E1D9ED3C09}"/>
    <hyperlink ref="B14" r:id="rId36" xr:uid="{0FAF222F-C2FA-493F-B467-6BA5F02D0373}"/>
    <hyperlink ref="B9" r:id="rId37" xr:uid="{585AC067-D707-49F7-8686-18BFDFD7416C}"/>
    <hyperlink ref="B10" r:id="rId38" display="STANLEY Infrastructure" xr:uid="{A06D67E0-0E4C-4533-BA77-40C21A2735FA}"/>
    <hyperlink ref="B6" r:id="rId39" xr:uid="{348ADA13-94D3-4910-851F-F430725B198A}"/>
    <hyperlink ref="B8" r:id="rId40" xr:uid="{2A997277-333A-4E04-B753-B1A97CE56A66}"/>
    <hyperlink ref="B7" r:id="rId41" xr:uid="{44124AA5-B8F1-4245-9ACA-55F0D186BF70}"/>
    <hyperlink ref="A2" location="'START PAGE'!A1" display="Back to start page" xr:uid="{FF9C17E9-6A40-4373-926E-E63DD0996567}"/>
    <hyperlink ref="B5" r:id="rId42" xr:uid="{9D1F1DE8-D8DC-4028-9202-FE3A7C9DF0AE}"/>
  </hyperlinks>
  <pageMargins left="0.7" right="0.7" top="0.75" bottom="0.75" header="0.3" footer="0.3"/>
  <pageSetup paperSize="9" scale="58" fitToHeight="0" orientation="portrait" r:id="rId43"/>
  <ignoredErrors>
    <ignoredError sqref="Z8 Z6 V6:V8 V10 V18:V23 Z18:Z23" formula="1"/>
  </ignoredErrors>
  <legacyDrawing r:id="rId4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pageSetUpPr fitToPage="1"/>
  </sheetPr>
  <dimension ref="A1:AL104"/>
  <sheetViews>
    <sheetView showGridLines="0" zoomScale="90" zoomScaleNormal="90" workbookViewId="0">
      <pane xSplit="1" ySplit="6" topLeftCell="B7" activePane="bottomRight" state="frozen"/>
      <selection activeCell="C75" sqref="C75"/>
      <selection pane="topRight" activeCell="C75" sqref="C75"/>
      <selection pane="bottomLeft" activeCell="C75" sqref="C75"/>
      <selection pane="bottomRight" activeCell="B7" sqref="B7"/>
    </sheetView>
  </sheetViews>
  <sheetFormatPr defaultColWidth="9" defaultRowHeight="10"/>
  <cols>
    <col min="1" max="1" width="26.58203125" style="42" customWidth="1"/>
    <col min="2" max="7" width="7.58203125" style="42" bestFit="1" customWidth="1"/>
    <col min="8" max="9" width="8.08203125" style="42" bestFit="1" customWidth="1"/>
    <col min="10" max="10" width="4.58203125" style="42" customWidth="1"/>
    <col min="11" max="11" width="8.08203125" style="42" bestFit="1" customWidth="1"/>
    <col min="12" max="34" width="5.08203125" style="42" bestFit="1" customWidth="1"/>
    <col min="35" max="16384" width="9" style="42"/>
  </cols>
  <sheetData>
    <row r="1" spans="1:38" ht="16" thickBot="1">
      <c r="A1" s="59" t="s">
        <v>186</v>
      </c>
      <c r="B1" s="241" t="s">
        <v>222</v>
      </c>
      <c r="C1" s="241"/>
      <c r="D1" s="241"/>
      <c r="E1" s="242"/>
      <c r="F1" s="242"/>
      <c r="G1" s="242"/>
      <c r="H1" s="242"/>
      <c r="I1" s="242"/>
      <c r="K1" s="241" t="s">
        <v>221</v>
      </c>
      <c r="L1" s="242"/>
      <c r="M1" s="242"/>
      <c r="N1" s="243"/>
      <c r="O1" s="241"/>
      <c r="P1" s="242"/>
      <c r="Q1" s="242"/>
      <c r="R1" s="243"/>
      <c r="S1" s="241"/>
      <c r="T1" s="242"/>
      <c r="U1" s="242"/>
      <c r="V1" s="243"/>
      <c r="W1" s="241"/>
      <c r="X1" s="242"/>
      <c r="Y1" s="242"/>
      <c r="Z1" s="243"/>
      <c r="AA1" s="241"/>
      <c r="AB1" s="242"/>
      <c r="AC1" s="242"/>
      <c r="AD1" s="243"/>
      <c r="AE1" s="241"/>
      <c r="AF1" s="242"/>
      <c r="AG1" s="242"/>
      <c r="AH1" s="243"/>
    </row>
    <row r="2" spans="1:38" ht="11" thickTop="1" thickBot="1">
      <c r="A2" s="823" t="s">
        <v>198</v>
      </c>
      <c r="B2" s="1099" t="s">
        <v>725</v>
      </c>
      <c r="C2" s="1099"/>
      <c r="D2" s="1099"/>
      <c r="E2" s="1099"/>
      <c r="F2" s="1099"/>
      <c r="G2" s="1099"/>
      <c r="H2" s="1099"/>
      <c r="I2" s="1099"/>
      <c r="N2" s="71"/>
      <c r="R2" s="71"/>
      <c r="V2" s="71"/>
      <c r="Z2" s="71"/>
      <c r="AD2" s="71"/>
      <c r="AE2" s="1099" t="s">
        <v>725</v>
      </c>
      <c r="AF2" s="1099"/>
      <c r="AG2" s="1099"/>
      <c r="AH2" s="1099"/>
      <c r="AI2" s="1099"/>
      <c r="AJ2" s="1099"/>
      <c r="AK2" s="1099"/>
      <c r="AL2" s="1099"/>
    </row>
    <row r="3" spans="1:38" ht="10.5" thickTop="1">
      <c r="A3" s="550"/>
      <c r="B3" s="1099"/>
      <c r="C3" s="1099"/>
      <c r="D3" s="1099"/>
      <c r="E3" s="1099"/>
      <c r="F3" s="1099"/>
      <c r="G3" s="1099"/>
      <c r="H3" s="1099"/>
      <c r="I3" s="1099"/>
      <c r="N3" s="71"/>
      <c r="R3" s="71"/>
      <c r="V3" s="71"/>
      <c r="Z3" s="71"/>
      <c r="AD3" s="71"/>
      <c r="AE3" s="1099"/>
      <c r="AF3" s="1099"/>
      <c r="AG3" s="1099"/>
      <c r="AH3" s="1099"/>
      <c r="AI3" s="1099"/>
      <c r="AJ3" s="1099"/>
      <c r="AK3" s="1099"/>
      <c r="AL3" s="1099"/>
    </row>
    <row r="4" spans="1:38" ht="36" customHeight="1">
      <c r="A4" s="550"/>
      <c r="B4" s="1099"/>
      <c r="C4" s="1099"/>
      <c r="D4" s="1099"/>
      <c r="E4" s="1099"/>
      <c r="F4" s="1099"/>
      <c r="G4" s="1099"/>
      <c r="H4" s="1099"/>
      <c r="I4" s="1099"/>
      <c r="N4" s="71"/>
      <c r="R4" s="71"/>
      <c r="V4" s="71"/>
      <c r="Z4" s="71"/>
      <c r="AD4" s="71"/>
      <c r="AE4" s="1099"/>
      <c r="AF4" s="1099"/>
      <c r="AG4" s="1099"/>
      <c r="AH4" s="1099"/>
      <c r="AI4" s="1099"/>
      <c r="AJ4" s="1099"/>
      <c r="AK4" s="1099"/>
      <c r="AL4" s="1099"/>
    </row>
    <row r="5" spans="1:38" ht="10.5">
      <c r="A5" s="244" t="s">
        <v>13</v>
      </c>
      <c r="B5" s="245">
        <v>2015</v>
      </c>
      <c r="C5" s="245">
        <v>2016</v>
      </c>
      <c r="D5" s="245">
        <v>2017</v>
      </c>
      <c r="E5" s="245">
        <v>2018</v>
      </c>
      <c r="F5" s="245">
        <v>2019</v>
      </c>
      <c r="G5" s="245">
        <v>2020</v>
      </c>
      <c r="H5" s="245">
        <v>2021</v>
      </c>
      <c r="I5" s="245">
        <v>2022</v>
      </c>
      <c r="K5" s="245">
        <v>2017</v>
      </c>
      <c r="L5" s="245"/>
      <c r="M5" s="245"/>
      <c r="N5" s="246"/>
      <c r="O5" s="245">
        <v>2018</v>
      </c>
      <c r="P5" s="245"/>
      <c r="Q5" s="245"/>
      <c r="R5" s="246"/>
      <c r="S5" s="245">
        <v>2019</v>
      </c>
      <c r="T5" s="245"/>
      <c r="U5" s="245"/>
      <c r="V5" s="246"/>
      <c r="W5" s="245">
        <v>2020</v>
      </c>
      <c r="X5" s="245"/>
      <c r="Y5" s="245"/>
      <c r="Z5" s="246"/>
      <c r="AA5" s="245">
        <v>2021</v>
      </c>
      <c r="AB5" s="245"/>
      <c r="AC5" s="245"/>
      <c r="AD5" s="246"/>
      <c r="AE5" s="245">
        <v>2022</v>
      </c>
      <c r="AF5" s="245"/>
      <c r="AG5" s="245"/>
      <c r="AH5" s="246"/>
    </row>
    <row r="6" spans="1:38" ht="10.5">
      <c r="A6" s="247" t="s">
        <v>207</v>
      </c>
      <c r="B6" s="248" t="s">
        <v>59</v>
      </c>
      <c r="C6" s="248" t="s">
        <v>59</v>
      </c>
      <c r="D6" s="248" t="s">
        <v>59</v>
      </c>
      <c r="E6" s="248" t="s">
        <v>59</v>
      </c>
      <c r="F6" s="248" t="s">
        <v>59</v>
      </c>
      <c r="G6" s="248" t="s">
        <v>59</v>
      </c>
      <c r="H6" s="248" t="s">
        <v>59</v>
      </c>
      <c r="I6" s="248" t="s">
        <v>59</v>
      </c>
      <c r="K6" s="248" t="s">
        <v>14</v>
      </c>
      <c r="L6" s="248" t="s">
        <v>15</v>
      </c>
      <c r="M6" s="248" t="s">
        <v>16</v>
      </c>
      <c r="N6" s="249" t="s">
        <v>17</v>
      </c>
      <c r="O6" s="248" t="s">
        <v>14</v>
      </c>
      <c r="P6" s="248" t="s">
        <v>15</v>
      </c>
      <c r="Q6" s="248" t="s">
        <v>16</v>
      </c>
      <c r="R6" s="249" t="s">
        <v>17</v>
      </c>
      <c r="S6" s="248" t="s">
        <v>14</v>
      </c>
      <c r="T6" s="248" t="s">
        <v>15</v>
      </c>
      <c r="U6" s="248" t="s">
        <v>16</v>
      </c>
      <c r="V6" s="249" t="s">
        <v>17</v>
      </c>
      <c r="W6" s="248" t="s">
        <v>14</v>
      </c>
      <c r="X6" s="248" t="s">
        <v>15</v>
      </c>
      <c r="Y6" s="248" t="s">
        <v>16</v>
      </c>
      <c r="Z6" s="249" t="s">
        <v>17</v>
      </c>
      <c r="AA6" s="248" t="s">
        <v>14</v>
      </c>
      <c r="AB6" s="248" t="s">
        <v>15</v>
      </c>
      <c r="AC6" s="248" t="s">
        <v>16</v>
      </c>
      <c r="AD6" s="249" t="s">
        <v>17</v>
      </c>
      <c r="AE6" s="248" t="s">
        <v>14</v>
      </c>
      <c r="AF6" s="248" t="s">
        <v>15</v>
      </c>
      <c r="AG6" s="248" t="s">
        <v>16</v>
      </c>
      <c r="AH6" s="249" t="s">
        <v>17</v>
      </c>
    </row>
    <row r="7" spans="1:38">
      <c r="A7" s="250" t="s">
        <v>73</v>
      </c>
      <c r="B7" s="251">
        <v>19213</v>
      </c>
      <c r="C7" s="251">
        <v>19413</v>
      </c>
      <c r="D7" s="251">
        <v>24574.266098877102</v>
      </c>
      <c r="E7" s="251">
        <v>29695</v>
      </c>
      <c r="F7" s="251">
        <v>28509</v>
      </c>
      <c r="G7" s="251">
        <v>27252</v>
      </c>
      <c r="H7" s="251">
        <f>SUM(AA7:AD7)</f>
        <v>34513</v>
      </c>
      <c r="I7" s="251">
        <v>41566</v>
      </c>
      <c r="K7" s="251">
        <v>6200.2283143322002</v>
      </c>
      <c r="L7" s="251">
        <v>6323.0377845449002</v>
      </c>
      <c r="M7" s="251">
        <v>6263</v>
      </c>
      <c r="N7" s="252">
        <v>5788</v>
      </c>
      <c r="O7" s="251">
        <v>7442</v>
      </c>
      <c r="P7" s="251">
        <v>7947</v>
      </c>
      <c r="Q7" s="251">
        <v>7190</v>
      </c>
      <c r="R7" s="252">
        <v>7116</v>
      </c>
      <c r="S7" s="251">
        <v>7248</v>
      </c>
      <c r="T7" s="251">
        <v>7677</v>
      </c>
      <c r="U7" s="251">
        <v>6874</v>
      </c>
      <c r="V7" s="252">
        <v>6710</v>
      </c>
      <c r="W7" s="251">
        <v>7101</v>
      </c>
      <c r="X7" s="251">
        <v>6129</v>
      </c>
      <c r="Y7" s="251">
        <v>7068</v>
      </c>
      <c r="Z7" s="252">
        <v>6954</v>
      </c>
      <c r="AA7" s="251">
        <v>7991</v>
      </c>
      <c r="AB7" s="251">
        <v>8387</v>
      </c>
      <c r="AC7" s="251">
        <v>9336</v>
      </c>
      <c r="AD7" s="252">
        <v>8799</v>
      </c>
      <c r="AE7" s="251">
        <v>10547</v>
      </c>
      <c r="AF7" s="251">
        <v>10567</v>
      </c>
      <c r="AG7" s="251">
        <v>9526</v>
      </c>
      <c r="AH7" s="252">
        <v>10926</v>
      </c>
    </row>
    <row r="8" spans="1:38">
      <c r="A8" s="253" t="s">
        <v>60</v>
      </c>
      <c r="B8" s="254">
        <v>7776</v>
      </c>
      <c r="C8" s="254">
        <v>8506</v>
      </c>
      <c r="D8" s="254">
        <v>12246</v>
      </c>
      <c r="E8" s="254">
        <v>15244</v>
      </c>
      <c r="F8" s="254">
        <v>12355</v>
      </c>
      <c r="G8" s="254">
        <v>11326</v>
      </c>
      <c r="H8" s="254">
        <f t="shared" ref="H8:H22" si="0">SUM(AA8:AD8)</f>
        <v>16403</v>
      </c>
      <c r="I8" s="254">
        <v>17189</v>
      </c>
      <c r="K8" s="254">
        <v>3147</v>
      </c>
      <c r="L8" s="254">
        <v>3142</v>
      </c>
      <c r="M8" s="254">
        <v>3281</v>
      </c>
      <c r="N8" s="255">
        <v>2676</v>
      </c>
      <c r="O8" s="254">
        <v>4054</v>
      </c>
      <c r="P8" s="254">
        <v>4234</v>
      </c>
      <c r="Q8" s="254">
        <v>3601</v>
      </c>
      <c r="R8" s="255">
        <v>3355</v>
      </c>
      <c r="S8" s="254">
        <v>3442</v>
      </c>
      <c r="T8" s="254">
        <v>3580</v>
      </c>
      <c r="U8" s="254">
        <v>2727</v>
      </c>
      <c r="V8" s="255">
        <v>2606</v>
      </c>
      <c r="W8" s="254">
        <v>2850</v>
      </c>
      <c r="X8" s="254">
        <v>2410</v>
      </c>
      <c r="Y8" s="254">
        <v>3099</v>
      </c>
      <c r="Z8" s="255">
        <v>2967</v>
      </c>
      <c r="AA8" s="254">
        <v>4028</v>
      </c>
      <c r="AB8" s="254">
        <v>4031</v>
      </c>
      <c r="AC8" s="254">
        <v>4532</v>
      </c>
      <c r="AD8" s="255">
        <v>3812</v>
      </c>
      <c r="AE8" s="254">
        <v>5244</v>
      </c>
      <c r="AF8" s="254">
        <v>4682</v>
      </c>
      <c r="AG8" s="254">
        <v>3437</v>
      </c>
      <c r="AH8" s="255">
        <v>3826</v>
      </c>
    </row>
    <row r="9" spans="1:38">
      <c r="A9" s="253" t="s">
        <v>72</v>
      </c>
      <c r="B9" s="256">
        <v>11437</v>
      </c>
      <c r="C9" s="256">
        <v>10907</v>
      </c>
      <c r="D9" s="256">
        <v>12328</v>
      </c>
      <c r="E9" s="256">
        <v>14451</v>
      </c>
      <c r="F9" s="256">
        <v>16154</v>
      </c>
      <c r="G9" s="256">
        <v>15926</v>
      </c>
      <c r="H9" s="256">
        <f t="shared" si="0"/>
        <v>18110</v>
      </c>
      <c r="I9" s="256">
        <v>24377</v>
      </c>
      <c r="K9" s="256">
        <v>3053</v>
      </c>
      <c r="L9" s="256">
        <v>3181</v>
      </c>
      <c r="M9" s="256">
        <v>2982</v>
      </c>
      <c r="N9" s="257">
        <v>3112</v>
      </c>
      <c r="O9" s="256">
        <v>3388</v>
      </c>
      <c r="P9" s="256">
        <v>3713</v>
      </c>
      <c r="Q9" s="256">
        <v>3589</v>
      </c>
      <c r="R9" s="257">
        <v>3761</v>
      </c>
      <c r="S9" s="256">
        <v>3806</v>
      </c>
      <c r="T9" s="256">
        <v>4097</v>
      </c>
      <c r="U9" s="256">
        <v>4147</v>
      </c>
      <c r="V9" s="257">
        <v>4105</v>
      </c>
      <c r="W9" s="256">
        <v>4251</v>
      </c>
      <c r="X9" s="256">
        <v>3719</v>
      </c>
      <c r="Y9" s="256">
        <v>3969</v>
      </c>
      <c r="Z9" s="257">
        <v>3987</v>
      </c>
      <c r="AA9" s="256">
        <v>3963</v>
      </c>
      <c r="AB9" s="256">
        <v>4356</v>
      </c>
      <c r="AC9" s="256">
        <v>4804</v>
      </c>
      <c r="AD9" s="257">
        <v>4987</v>
      </c>
      <c r="AE9" s="256">
        <v>5303</v>
      </c>
      <c r="AF9" s="256">
        <v>5885</v>
      </c>
      <c r="AG9" s="256">
        <v>6089</v>
      </c>
      <c r="AH9" s="257">
        <v>7100</v>
      </c>
    </row>
    <row r="10" spans="1:38">
      <c r="A10" s="250" t="s">
        <v>71</v>
      </c>
      <c r="B10" s="251">
        <v>8109</v>
      </c>
      <c r="C10" s="251">
        <v>7947</v>
      </c>
      <c r="D10" s="251">
        <v>9047.0275727111002</v>
      </c>
      <c r="E10" s="251">
        <v>9611</v>
      </c>
      <c r="F10" s="251">
        <v>10768</v>
      </c>
      <c r="G10" s="251">
        <v>9185</v>
      </c>
      <c r="H10" s="251">
        <f t="shared" si="0"/>
        <v>11025</v>
      </c>
      <c r="I10" s="251">
        <v>11795</v>
      </c>
      <c r="K10" s="251">
        <v>2341.2545534702999</v>
      </c>
      <c r="L10" s="251">
        <v>2269.6157532337002</v>
      </c>
      <c r="M10" s="251">
        <v>2239.1572660071001</v>
      </c>
      <c r="N10" s="252">
        <v>2197</v>
      </c>
      <c r="O10" s="251">
        <v>2550</v>
      </c>
      <c r="P10" s="251">
        <v>2470</v>
      </c>
      <c r="Q10" s="251">
        <v>2285</v>
      </c>
      <c r="R10" s="252">
        <v>2306</v>
      </c>
      <c r="S10" s="251">
        <v>2760</v>
      </c>
      <c r="T10" s="251">
        <v>2826</v>
      </c>
      <c r="U10" s="251">
        <v>2665</v>
      </c>
      <c r="V10" s="252">
        <v>2517</v>
      </c>
      <c r="W10" s="251">
        <v>2619</v>
      </c>
      <c r="X10" s="251">
        <v>1980</v>
      </c>
      <c r="Y10" s="251">
        <v>2249</v>
      </c>
      <c r="Z10" s="252">
        <v>2337</v>
      </c>
      <c r="AA10" s="251">
        <v>2674</v>
      </c>
      <c r="AB10" s="251">
        <v>2678</v>
      </c>
      <c r="AC10" s="251">
        <v>2866</v>
      </c>
      <c r="AD10" s="252">
        <v>2807</v>
      </c>
      <c r="AE10" s="251">
        <v>3263</v>
      </c>
      <c r="AF10" s="251">
        <v>2825</v>
      </c>
      <c r="AG10" s="251">
        <v>2767</v>
      </c>
      <c r="AH10" s="252">
        <v>2940</v>
      </c>
    </row>
    <row r="11" spans="1:38">
      <c r="A11" s="250" t="s">
        <v>110</v>
      </c>
      <c r="B11" s="251">
        <v>229</v>
      </c>
      <c r="C11" s="251">
        <v>274</v>
      </c>
      <c r="D11" s="251">
        <v>210</v>
      </c>
      <c r="E11" s="251">
        <v>94</v>
      </c>
      <c r="F11" s="251">
        <v>215</v>
      </c>
      <c r="G11" s="251">
        <v>142</v>
      </c>
      <c r="H11" s="251">
        <f t="shared" si="0"/>
        <v>110</v>
      </c>
      <c r="I11" s="251">
        <v>-139</v>
      </c>
      <c r="K11" s="251">
        <v>-21</v>
      </c>
      <c r="L11" s="251">
        <v>68.861974440200356</v>
      </c>
      <c r="M11" s="251">
        <v>89</v>
      </c>
      <c r="N11" s="252">
        <v>73</v>
      </c>
      <c r="O11" s="251">
        <v>44</v>
      </c>
      <c r="P11" s="251">
        <v>66</v>
      </c>
      <c r="Q11" s="251">
        <v>-62</v>
      </c>
      <c r="R11" s="252">
        <v>46</v>
      </c>
      <c r="S11" s="251">
        <v>55</v>
      </c>
      <c r="T11" s="251">
        <v>50</v>
      </c>
      <c r="U11" s="251">
        <v>61</v>
      </c>
      <c r="V11" s="252">
        <v>49</v>
      </c>
      <c r="W11" s="251">
        <v>52</v>
      </c>
      <c r="X11" s="251">
        <v>-4</v>
      </c>
      <c r="Y11" s="251">
        <v>56</v>
      </c>
      <c r="Z11" s="252">
        <v>38</v>
      </c>
      <c r="AA11" s="251">
        <v>25</v>
      </c>
      <c r="AB11" s="251">
        <v>5</v>
      </c>
      <c r="AC11" s="251">
        <v>43</v>
      </c>
      <c r="AD11" s="252">
        <v>37</v>
      </c>
      <c r="AE11" s="251">
        <v>8</v>
      </c>
      <c r="AF11" s="251">
        <v>-15</v>
      </c>
      <c r="AG11" s="251">
        <v>29</v>
      </c>
      <c r="AH11" s="252">
        <v>-161</v>
      </c>
    </row>
    <row r="12" spans="1:38" ht="10.5">
      <c r="A12" s="258" t="s">
        <v>35</v>
      </c>
      <c r="B12" s="259">
        <v>27551</v>
      </c>
      <c r="C12" s="259">
        <v>27634</v>
      </c>
      <c r="D12" s="259">
        <v>33831</v>
      </c>
      <c r="E12" s="259">
        <v>39400</v>
      </c>
      <c r="F12" s="259">
        <v>39492</v>
      </c>
      <c r="G12" s="259">
        <v>36579</v>
      </c>
      <c r="H12" s="259">
        <f t="shared" si="0"/>
        <v>45648</v>
      </c>
      <c r="I12" s="259">
        <v>53222</v>
      </c>
      <c r="K12" s="259">
        <v>8520</v>
      </c>
      <c r="L12" s="259">
        <v>8661.5155122188007</v>
      </c>
      <c r="M12" s="259">
        <v>8591.1572660070997</v>
      </c>
      <c r="N12" s="260">
        <v>8058</v>
      </c>
      <c r="O12" s="259">
        <v>10036</v>
      </c>
      <c r="P12" s="259">
        <v>10483</v>
      </c>
      <c r="Q12" s="259">
        <v>9413</v>
      </c>
      <c r="R12" s="260">
        <v>9468</v>
      </c>
      <c r="S12" s="259">
        <v>10063</v>
      </c>
      <c r="T12" s="259">
        <v>10553</v>
      </c>
      <c r="U12" s="259">
        <v>9600</v>
      </c>
      <c r="V12" s="260">
        <v>9276</v>
      </c>
      <c r="W12" s="259">
        <v>9772</v>
      </c>
      <c r="X12" s="259">
        <v>8105</v>
      </c>
      <c r="Y12" s="259">
        <v>9373</v>
      </c>
      <c r="Z12" s="260">
        <v>9329</v>
      </c>
      <c r="AA12" s="259">
        <v>10690</v>
      </c>
      <c r="AB12" s="259">
        <v>11070</v>
      </c>
      <c r="AC12" s="259">
        <v>12245</v>
      </c>
      <c r="AD12" s="260">
        <v>11643</v>
      </c>
      <c r="AE12" s="259">
        <v>13818</v>
      </c>
      <c r="AF12" s="259">
        <v>13377</v>
      </c>
      <c r="AG12" s="259">
        <v>12322</v>
      </c>
      <c r="AH12" s="260">
        <v>13705</v>
      </c>
    </row>
    <row r="13" spans="1:38" ht="10.5">
      <c r="A13" s="244"/>
      <c r="B13" s="261"/>
      <c r="C13" s="261"/>
      <c r="D13" s="261"/>
      <c r="E13" s="261"/>
      <c r="F13" s="261"/>
      <c r="G13" s="261"/>
      <c r="H13" s="261"/>
      <c r="I13" s="261"/>
      <c r="K13" s="261"/>
      <c r="L13" s="261"/>
      <c r="M13" s="261"/>
      <c r="N13" s="262"/>
      <c r="O13" s="261"/>
      <c r="P13" s="261"/>
      <c r="Q13" s="261"/>
      <c r="R13" s="262"/>
      <c r="S13" s="261"/>
      <c r="T13" s="261"/>
      <c r="U13" s="261"/>
      <c r="V13" s="262"/>
      <c r="W13" s="261"/>
      <c r="X13" s="261"/>
      <c r="Y13" s="261"/>
      <c r="Z13" s="262"/>
      <c r="AA13" s="261"/>
      <c r="AB13" s="261"/>
      <c r="AC13" s="261"/>
      <c r="AD13" s="262"/>
      <c r="AE13" s="261"/>
      <c r="AF13" s="261"/>
      <c r="AG13" s="261"/>
      <c r="AH13" s="262"/>
    </row>
    <row r="14" spans="1:38" ht="10.5">
      <c r="A14" s="263"/>
      <c r="B14" s="261"/>
      <c r="C14" s="261"/>
      <c r="D14" s="261"/>
      <c r="E14" s="261"/>
      <c r="F14" s="261"/>
      <c r="G14" s="261"/>
      <c r="H14" s="261"/>
      <c r="I14" s="261"/>
      <c r="K14" s="261"/>
      <c r="L14" s="261"/>
      <c r="M14" s="261"/>
      <c r="N14" s="262"/>
      <c r="O14" s="261"/>
      <c r="P14" s="261"/>
      <c r="Q14" s="261"/>
      <c r="R14" s="262"/>
      <c r="S14" s="261"/>
      <c r="T14" s="261"/>
      <c r="U14" s="261"/>
      <c r="V14" s="262"/>
      <c r="W14" s="261"/>
      <c r="X14" s="261"/>
      <c r="Y14" s="261"/>
      <c r="Z14" s="262"/>
      <c r="AA14" s="261"/>
      <c r="AB14" s="261"/>
      <c r="AC14" s="261"/>
      <c r="AD14" s="262"/>
      <c r="AE14" s="261"/>
      <c r="AF14" s="261"/>
      <c r="AG14" s="261"/>
      <c r="AH14" s="262"/>
    </row>
    <row r="15" spans="1:38" ht="10.5">
      <c r="A15" s="263" t="s">
        <v>0</v>
      </c>
      <c r="B15" s="245">
        <v>2015</v>
      </c>
      <c r="C15" s="245">
        <v>2016</v>
      </c>
      <c r="D15" s="245">
        <v>2017</v>
      </c>
      <c r="E15" s="245">
        <v>2018</v>
      </c>
      <c r="F15" s="245">
        <v>2019</v>
      </c>
      <c r="G15" s="245">
        <v>2020</v>
      </c>
      <c r="H15" s="245">
        <f t="shared" si="0"/>
        <v>2021</v>
      </c>
      <c r="I15" s="245">
        <v>2022</v>
      </c>
      <c r="K15" s="245">
        <v>2017</v>
      </c>
      <c r="L15" s="245"/>
      <c r="M15" s="245"/>
      <c r="N15" s="246"/>
      <c r="O15" s="245">
        <v>2018</v>
      </c>
      <c r="P15" s="245"/>
      <c r="Q15" s="245"/>
      <c r="R15" s="246"/>
      <c r="S15" s="245">
        <v>2019</v>
      </c>
      <c r="T15" s="245"/>
      <c r="U15" s="245"/>
      <c r="V15" s="246"/>
      <c r="W15" s="245">
        <v>2020</v>
      </c>
      <c r="X15" s="245"/>
      <c r="Y15" s="245"/>
      <c r="Z15" s="246"/>
      <c r="AA15" s="245">
        <v>2021</v>
      </c>
      <c r="AB15" s="245"/>
      <c r="AC15" s="245"/>
      <c r="AD15" s="246" t="s">
        <v>257</v>
      </c>
      <c r="AE15" s="245">
        <v>2022</v>
      </c>
      <c r="AF15" s="245" t="s">
        <v>257</v>
      </c>
      <c r="AG15" s="245" t="s">
        <v>257</v>
      </c>
      <c r="AH15" s="246" t="s">
        <v>257</v>
      </c>
    </row>
    <row r="16" spans="1:38" ht="10.5">
      <c r="A16" s="247" t="s">
        <v>207</v>
      </c>
      <c r="B16" s="248" t="s">
        <v>59</v>
      </c>
      <c r="C16" s="248" t="s">
        <v>59</v>
      </c>
      <c r="D16" s="248" t="s">
        <v>59</v>
      </c>
      <c r="E16" s="248" t="s">
        <v>59</v>
      </c>
      <c r="F16" s="248" t="s">
        <v>59</v>
      </c>
      <c r="G16" s="248" t="s">
        <v>59</v>
      </c>
      <c r="H16" s="248" t="s">
        <v>59</v>
      </c>
      <c r="I16" s="248" t="s">
        <v>59</v>
      </c>
      <c r="K16" s="248" t="s">
        <v>14</v>
      </c>
      <c r="L16" s="248" t="s">
        <v>15</v>
      </c>
      <c r="M16" s="248" t="s">
        <v>16</v>
      </c>
      <c r="N16" s="249" t="s">
        <v>17</v>
      </c>
      <c r="O16" s="248" t="s">
        <v>14</v>
      </c>
      <c r="P16" s="248" t="s">
        <v>15</v>
      </c>
      <c r="Q16" s="248" t="s">
        <v>16</v>
      </c>
      <c r="R16" s="249" t="s">
        <v>17</v>
      </c>
      <c r="S16" s="248" t="s">
        <v>14</v>
      </c>
      <c r="T16" s="248" t="s">
        <v>15</v>
      </c>
      <c r="U16" s="248" t="s">
        <v>16</v>
      </c>
      <c r="V16" s="249" t="s">
        <v>17</v>
      </c>
      <c r="W16" s="248" t="s">
        <v>14</v>
      </c>
      <c r="X16" s="248" t="s">
        <v>15</v>
      </c>
      <c r="Y16" s="248" t="s">
        <v>16</v>
      </c>
      <c r="Z16" s="249" t="s">
        <v>17</v>
      </c>
      <c r="AA16" s="248" t="s">
        <v>14</v>
      </c>
      <c r="AB16" s="248" t="s">
        <v>15</v>
      </c>
      <c r="AC16" s="248" t="str">
        <f>+AC$6</f>
        <v>Q3</v>
      </c>
      <c r="AD16" s="249" t="s">
        <v>17</v>
      </c>
      <c r="AE16" s="248" t="s">
        <v>14</v>
      </c>
      <c r="AF16" s="248" t="s">
        <v>15</v>
      </c>
      <c r="AG16" s="248" t="s">
        <v>16</v>
      </c>
      <c r="AH16" s="249" t="s">
        <v>17</v>
      </c>
    </row>
    <row r="17" spans="1:34">
      <c r="A17" s="250" t="s">
        <v>73</v>
      </c>
      <c r="B17" s="251">
        <v>20317</v>
      </c>
      <c r="C17" s="251">
        <v>18898</v>
      </c>
      <c r="D17" s="251">
        <v>22383</v>
      </c>
      <c r="E17" s="251">
        <v>28540</v>
      </c>
      <c r="F17" s="251">
        <v>29891</v>
      </c>
      <c r="G17" s="251">
        <v>26927</v>
      </c>
      <c r="H17" s="251">
        <f t="shared" si="0"/>
        <v>29320</v>
      </c>
      <c r="I17" s="251">
        <v>37661</v>
      </c>
      <c r="K17" s="251">
        <v>5220</v>
      </c>
      <c r="L17" s="251">
        <v>5495</v>
      </c>
      <c r="M17" s="251">
        <v>5406</v>
      </c>
      <c r="N17" s="252">
        <v>6262</v>
      </c>
      <c r="O17" s="251">
        <v>5943</v>
      </c>
      <c r="P17" s="251">
        <v>7325</v>
      </c>
      <c r="Q17" s="251">
        <v>7178</v>
      </c>
      <c r="R17" s="252">
        <v>8094</v>
      </c>
      <c r="S17" s="251">
        <v>7115</v>
      </c>
      <c r="T17" s="251">
        <v>7702</v>
      </c>
      <c r="U17" s="251">
        <v>7334</v>
      </c>
      <c r="V17" s="252">
        <v>7740</v>
      </c>
      <c r="W17" s="251">
        <v>6579</v>
      </c>
      <c r="X17" s="251">
        <v>6422</v>
      </c>
      <c r="Y17" s="251">
        <v>6471</v>
      </c>
      <c r="Z17" s="252">
        <v>7455</v>
      </c>
      <c r="AA17" s="251">
        <v>6391</v>
      </c>
      <c r="AB17" s="251">
        <v>7187</v>
      </c>
      <c r="AC17" s="251">
        <v>7242</v>
      </c>
      <c r="AD17" s="252">
        <v>8500</v>
      </c>
      <c r="AE17" s="251">
        <v>8196</v>
      </c>
      <c r="AF17" s="251">
        <v>8700</v>
      </c>
      <c r="AG17" s="251">
        <v>9747</v>
      </c>
      <c r="AH17" s="252">
        <v>11018</v>
      </c>
    </row>
    <row r="18" spans="1:34">
      <c r="A18" s="253" t="s">
        <v>60</v>
      </c>
      <c r="B18" s="254">
        <v>8510</v>
      </c>
      <c r="C18" s="254">
        <v>7710</v>
      </c>
      <c r="D18" s="254">
        <v>10276</v>
      </c>
      <c r="E18" s="254">
        <v>14238</v>
      </c>
      <c r="F18" s="254">
        <v>13862</v>
      </c>
      <c r="G18" s="254">
        <v>11382</v>
      </c>
      <c r="H18" s="254">
        <f t="shared" si="0"/>
        <v>12197</v>
      </c>
      <c r="I18" s="254">
        <v>15198</v>
      </c>
      <c r="J18" s="426"/>
      <c r="K18" s="254">
        <v>2219</v>
      </c>
      <c r="L18" s="254">
        <v>2469</v>
      </c>
      <c r="M18" s="254">
        <v>2414</v>
      </c>
      <c r="N18" s="255">
        <v>3174</v>
      </c>
      <c r="O18" s="254">
        <v>2678</v>
      </c>
      <c r="P18" s="254">
        <v>3640</v>
      </c>
      <c r="Q18" s="254">
        <v>3570</v>
      </c>
      <c r="R18" s="255">
        <v>4350</v>
      </c>
      <c r="S18" s="254">
        <v>3313</v>
      </c>
      <c r="T18" s="254">
        <v>3638</v>
      </c>
      <c r="U18" s="254">
        <v>3198</v>
      </c>
      <c r="V18" s="255">
        <v>3713</v>
      </c>
      <c r="W18" s="254">
        <v>2519</v>
      </c>
      <c r="X18" s="254">
        <v>2768</v>
      </c>
      <c r="Y18" s="254">
        <v>2688</v>
      </c>
      <c r="Z18" s="255">
        <v>3408</v>
      </c>
      <c r="AA18" s="254">
        <v>2562</v>
      </c>
      <c r="AB18" s="254">
        <v>3052</v>
      </c>
      <c r="AC18" s="254">
        <v>2792</v>
      </c>
      <c r="AD18" s="255">
        <v>3791</v>
      </c>
      <c r="AE18" s="254">
        <v>3410</v>
      </c>
      <c r="AF18" s="254">
        <v>3190</v>
      </c>
      <c r="AG18" s="254">
        <v>3832</v>
      </c>
      <c r="AH18" s="255">
        <v>4766</v>
      </c>
    </row>
    <row r="19" spans="1:34">
      <c r="A19" s="253" t="s">
        <v>72</v>
      </c>
      <c r="B19" s="256">
        <v>11807</v>
      </c>
      <c r="C19" s="256">
        <v>11188</v>
      </c>
      <c r="D19" s="256">
        <v>12106.760383407502</v>
      </c>
      <c r="E19" s="256">
        <v>14302</v>
      </c>
      <c r="F19" s="256">
        <v>16030</v>
      </c>
      <c r="G19" s="256">
        <v>15545</v>
      </c>
      <c r="H19" s="256">
        <f t="shared" si="0"/>
        <v>17123</v>
      </c>
      <c r="I19" s="256">
        <v>22463</v>
      </c>
      <c r="J19" s="427"/>
      <c r="K19" s="256">
        <v>3000.7719271698002</v>
      </c>
      <c r="L19" s="256">
        <v>3026</v>
      </c>
      <c r="M19" s="256">
        <v>2992</v>
      </c>
      <c r="N19" s="257">
        <v>3088.1511000085002</v>
      </c>
      <c r="O19" s="256">
        <v>3265</v>
      </c>
      <c r="P19" s="256">
        <v>3685</v>
      </c>
      <c r="Q19" s="256">
        <v>3608</v>
      </c>
      <c r="R19" s="257">
        <v>3744.3818536147</v>
      </c>
      <c r="S19" s="256">
        <v>3802</v>
      </c>
      <c r="T19" s="256">
        <v>4064</v>
      </c>
      <c r="U19" s="256">
        <v>4136</v>
      </c>
      <c r="V19" s="257">
        <v>4028</v>
      </c>
      <c r="W19" s="256">
        <v>4060</v>
      </c>
      <c r="X19" s="256">
        <v>3654</v>
      </c>
      <c r="Y19" s="256">
        <v>3783</v>
      </c>
      <c r="Z19" s="257">
        <v>4048</v>
      </c>
      <c r="AA19" s="256">
        <v>3829</v>
      </c>
      <c r="AB19" s="256">
        <v>4135</v>
      </c>
      <c r="AC19" s="256">
        <v>4450</v>
      </c>
      <c r="AD19" s="257">
        <v>4709</v>
      </c>
      <c r="AE19" s="256">
        <v>4786</v>
      </c>
      <c r="AF19" s="256">
        <v>5510</v>
      </c>
      <c r="AG19" s="256">
        <v>5915</v>
      </c>
      <c r="AH19" s="257">
        <v>6252</v>
      </c>
    </row>
    <row r="20" spans="1:34">
      <c r="A20" s="250" t="s">
        <v>71</v>
      </c>
      <c r="B20" s="251">
        <v>8088</v>
      </c>
      <c r="C20" s="251">
        <v>7925</v>
      </c>
      <c r="D20" s="251">
        <v>8738</v>
      </c>
      <c r="E20" s="251">
        <v>9519</v>
      </c>
      <c r="F20" s="251">
        <v>10799</v>
      </c>
      <c r="G20" s="251">
        <v>9024</v>
      </c>
      <c r="H20" s="251">
        <f t="shared" si="0"/>
        <v>10205</v>
      </c>
      <c r="I20" s="251">
        <v>12049</v>
      </c>
      <c r="K20" s="251">
        <v>2161</v>
      </c>
      <c r="L20" s="251">
        <v>2297</v>
      </c>
      <c r="M20" s="251">
        <v>2141</v>
      </c>
      <c r="N20" s="252">
        <v>2139</v>
      </c>
      <c r="O20" s="251">
        <v>2245</v>
      </c>
      <c r="P20" s="251">
        <v>2452</v>
      </c>
      <c r="Q20" s="251">
        <v>2382</v>
      </c>
      <c r="R20" s="252">
        <v>2440</v>
      </c>
      <c r="S20" s="251">
        <v>2605</v>
      </c>
      <c r="T20" s="251">
        <v>2926</v>
      </c>
      <c r="U20" s="251">
        <v>2765</v>
      </c>
      <c r="V20" s="252">
        <v>2503</v>
      </c>
      <c r="W20" s="251">
        <v>2505</v>
      </c>
      <c r="X20" s="251">
        <v>2035</v>
      </c>
      <c r="Y20" s="251">
        <v>2196</v>
      </c>
      <c r="Z20" s="252">
        <v>2288</v>
      </c>
      <c r="AA20" s="251">
        <v>2345</v>
      </c>
      <c r="AB20" s="251">
        <v>2517</v>
      </c>
      <c r="AC20" s="251">
        <v>2699</v>
      </c>
      <c r="AD20" s="252">
        <v>2644</v>
      </c>
      <c r="AE20" s="251">
        <v>2877</v>
      </c>
      <c r="AF20" s="251">
        <v>3154</v>
      </c>
      <c r="AG20" s="251">
        <v>3034</v>
      </c>
      <c r="AH20" s="252">
        <v>2984</v>
      </c>
    </row>
    <row r="21" spans="1:34">
      <c r="A21" s="250" t="s">
        <v>110</v>
      </c>
      <c r="B21" s="251">
        <v>258</v>
      </c>
      <c r="C21" s="251">
        <v>279</v>
      </c>
      <c r="D21" s="251">
        <v>243.24751847849984</v>
      </c>
      <c r="E21" s="251">
        <v>226</v>
      </c>
      <c r="F21" s="251">
        <v>159</v>
      </c>
      <c r="G21" s="251">
        <v>171</v>
      </c>
      <c r="H21" s="251">
        <f t="shared" si="0"/>
        <v>120</v>
      </c>
      <c r="I21" s="251">
        <v>-16</v>
      </c>
      <c r="K21" s="251">
        <v>30.247518478499842</v>
      </c>
      <c r="L21" s="251">
        <v>87</v>
      </c>
      <c r="M21" s="251">
        <v>63</v>
      </c>
      <c r="N21" s="252">
        <v>63</v>
      </c>
      <c r="O21" s="251">
        <v>45</v>
      </c>
      <c r="P21" s="251">
        <v>66</v>
      </c>
      <c r="Q21" s="251">
        <v>91</v>
      </c>
      <c r="R21" s="252">
        <v>24</v>
      </c>
      <c r="S21" s="251">
        <v>65</v>
      </c>
      <c r="T21" s="251">
        <v>-2</v>
      </c>
      <c r="U21" s="251">
        <v>59</v>
      </c>
      <c r="V21" s="252">
        <v>37</v>
      </c>
      <c r="W21" s="251">
        <v>50</v>
      </c>
      <c r="X21" s="251">
        <v>1</v>
      </c>
      <c r="Y21" s="251">
        <v>57</v>
      </c>
      <c r="Z21" s="252">
        <v>63</v>
      </c>
      <c r="AA21" s="251">
        <v>37</v>
      </c>
      <c r="AB21" s="251">
        <v>29</v>
      </c>
      <c r="AC21" s="251">
        <v>25</v>
      </c>
      <c r="AD21" s="252">
        <v>29</v>
      </c>
      <c r="AE21" s="251">
        <v>15</v>
      </c>
      <c r="AF21" s="251">
        <v>14</v>
      </c>
      <c r="AG21" s="251">
        <v>21</v>
      </c>
      <c r="AH21" s="252">
        <v>-66</v>
      </c>
    </row>
    <row r="22" spans="1:34" ht="10.5">
      <c r="A22" s="258" t="s">
        <v>35</v>
      </c>
      <c r="B22" s="259">
        <v>28663</v>
      </c>
      <c r="C22" s="259">
        <v>27102</v>
      </c>
      <c r="D22" s="259">
        <v>31364.2475184785</v>
      </c>
      <c r="E22" s="259">
        <v>38285</v>
      </c>
      <c r="F22" s="259">
        <v>40849</v>
      </c>
      <c r="G22" s="259">
        <v>36122</v>
      </c>
      <c r="H22" s="259">
        <f t="shared" si="0"/>
        <v>39645</v>
      </c>
      <c r="I22" s="259">
        <v>49694</v>
      </c>
      <c r="K22" s="259">
        <v>7411.2475184784998</v>
      </c>
      <c r="L22" s="259">
        <v>7879</v>
      </c>
      <c r="M22" s="259">
        <v>7610</v>
      </c>
      <c r="N22" s="260">
        <v>8464</v>
      </c>
      <c r="O22" s="259">
        <v>8233</v>
      </c>
      <c r="P22" s="259">
        <v>9843</v>
      </c>
      <c r="Q22" s="259">
        <v>9651</v>
      </c>
      <c r="R22" s="260">
        <v>10558</v>
      </c>
      <c r="S22" s="259">
        <v>9785</v>
      </c>
      <c r="T22" s="259">
        <v>10626</v>
      </c>
      <c r="U22" s="259">
        <v>10158</v>
      </c>
      <c r="V22" s="260">
        <v>10280</v>
      </c>
      <c r="W22" s="259">
        <v>9134</v>
      </c>
      <c r="X22" s="259">
        <v>8458</v>
      </c>
      <c r="Y22" s="259">
        <v>8724</v>
      </c>
      <c r="Z22" s="260">
        <v>9806</v>
      </c>
      <c r="AA22" s="259">
        <v>8773</v>
      </c>
      <c r="AB22" s="259">
        <v>9733</v>
      </c>
      <c r="AC22" s="259">
        <v>9966</v>
      </c>
      <c r="AD22" s="260">
        <v>11173</v>
      </c>
      <c r="AE22" s="259">
        <v>11088</v>
      </c>
      <c r="AF22" s="259">
        <v>11868</v>
      </c>
      <c r="AG22" s="259">
        <v>12802</v>
      </c>
      <c r="AH22" s="260">
        <v>13936</v>
      </c>
    </row>
    <row r="23" spans="1:34" ht="10.5">
      <c r="A23" s="253" t="s">
        <v>261</v>
      </c>
      <c r="B23" s="261"/>
      <c r="C23" s="230">
        <v>-0.05</v>
      </c>
      <c r="D23" s="230">
        <v>0.16</v>
      </c>
      <c r="E23" s="230">
        <v>0.22</v>
      </c>
      <c r="F23" s="230">
        <v>7.0000000000000007E-2</v>
      </c>
      <c r="G23" s="230">
        <v>-0.12</v>
      </c>
      <c r="H23" s="230">
        <f>H22/G22-1</f>
        <v>9.7530590775704473E-2</v>
      </c>
      <c r="I23" s="230">
        <f>I22/H22-1</f>
        <v>0.25347458695926339</v>
      </c>
      <c r="K23" s="261"/>
      <c r="L23" s="261"/>
      <c r="M23" s="261"/>
      <c r="N23" s="262"/>
      <c r="O23" s="261"/>
      <c r="P23" s="261"/>
      <c r="Q23" s="261"/>
      <c r="R23" s="262"/>
      <c r="S23" s="261"/>
      <c r="T23" s="261"/>
      <c r="U23" s="261"/>
      <c r="V23" s="262"/>
      <c r="W23" s="261"/>
      <c r="X23" s="261"/>
      <c r="Y23" s="261"/>
      <c r="Z23" s="262"/>
      <c r="AA23" s="261"/>
      <c r="AB23" s="261"/>
      <c r="AC23" s="261"/>
      <c r="AD23" s="262"/>
      <c r="AE23" s="261"/>
      <c r="AF23" s="261"/>
      <c r="AG23" s="261"/>
      <c r="AH23" s="262"/>
    </row>
    <row r="24" spans="1:34" ht="10.5">
      <c r="A24" s="253" t="s">
        <v>399</v>
      </c>
      <c r="B24" s="261"/>
      <c r="C24" s="239">
        <f>($H$22/$B$22)^(1/6)-1</f>
        <v>5.5547536297333666E-2</v>
      </c>
      <c r="D24" s="239">
        <f t="shared" ref="D24:H24" si="1">($H$22/$B$22)^(1/6)-1</f>
        <v>5.5547536297333666E-2</v>
      </c>
      <c r="E24" s="239">
        <f t="shared" si="1"/>
        <v>5.5547536297333666E-2</v>
      </c>
      <c r="F24" s="239">
        <f t="shared" si="1"/>
        <v>5.5547536297333666E-2</v>
      </c>
      <c r="G24" s="239">
        <f t="shared" si="1"/>
        <v>5.5547536297333666E-2</v>
      </c>
      <c r="H24" s="239">
        <f t="shared" si="1"/>
        <v>5.5547536297333666E-2</v>
      </c>
      <c r="I24" s="239">
        <f>($H$22/$B$22)^(1/6)-1</f>
        <v>5.5547536297333666E-2</v>
      </c>
      <c r="K24" s="261"/>
      <c r="L24" s="261"/>
      <c r="M24" s="261"/>
      <c r="N24" s="262"/>
      <c r="O24" s="261"/>
      <c r="P24" s="261"/>
      <c r="Q24" s="261"/>
      <c r="R24" s="262"/>
      <c r="S24" s="261"/>
      <c r="T24" s="261"/>
      <c r="U24" s="261"/>
      <c r="V24" s="262"/>
      <c r="W24" s="261"/>
      <c r="X24" s="261"/>
      <c r="Y24" s="261"/>
      <c r="Z24" s="262"/>
      <c r="AA24" s="261"/>
      <c r="AB24" s="261"/>
      <c r="AC24" s="261"/>
      <c r="AD24" s="262"/>
      <c r="AE24" s="261"/>
      <c r="AF24" s="261"/>
      <c r="AG24" s="261"/>
      <c r="AH24" s="262"/>
    </row>
    <row r="25" spans="1:34" ht="10.5">
      <c r="A25" s="244"/>
      <c r="B25" s="261"/>
      <c r="C25" s="261"/>
      <c r="D25" s="261"/>
      <c r="E25" s="261"/>
      <c r="F25" s="261"/>
      <c r="G25" s="264"/>
      <c r="H25" s="264"/>
      <c r="I25" s="264"/>
      <c r="K25" s="261"/>
      <c r="L25" s="261"/>
      <c r="M25" s="261"/>
      <c r="N25" s="262"/>
      <c r="O25" s="261"/>
      <c r="P25" s="261"/>
      <c r="Q25" s="261"/>
      <c r="R25" s="262"/>
      <c r="S25" s="261"/>
      <c r="T25" s="261"/>
      <c r="U25" s="261"/>
      <c r="V25" s="262"/>
      <c r="W25" s="261"/>
      <c r="X25" s="261"/>
      <c r="Y25" s="261"/>
      <c r="Z25" s="262"/>
      <c r="AA25" s="261"/>
      <c r="AB25" s="261"/>
      <c r="AC25" s="261"/>
      <c r="AD25" s="262"/>
      <c r="AE25" s="261"/>
      <c r="AF25" s="261"/>
      <c r="AG25" s="261"/>
      <c r="AH25" s="262"/>
    </row>
    <row r="26" spans="1:34" ht="10.5">
      <c r="A26" s="244" t="s">
        <v>112</v>
      </c>
      <c r="B26" s="245">
        <v>2015</v>
      </c>
      <c r="C26" s="245">
        <v>2016</v>
      </c>
      <c r="D26" s="245">
        <v>2017</v>
      </c>
      <c r="E26" s="245">
        <v>2018</v>
      </c>
      <c r="F26" s="245">
        <v>2019</v>
      </c>
      <c r="G26" s="245">
        <v>2020</v>
      </c>
      <c r="H26" s="245">
        <f t="shared" ref="H26:I26" si="2">SUM(AA26:AD26)</f>
        <v>2021</v>
      </c>
      <c r="I26" s="245">
        <f t="shared" si="2"/>
        <v>2022</v>
      </c>
      <c r="K26" s="245">
        <v>2017</v>
      </c>
      <c r="L26" s="245"/>
      <c r="M26" s="245"/>
      <c r="N26" s="246"/>
      <c r="O26" s="245">
        <v>2018</v>
      </c>
      <c r="P26" s="245"/>
      <c r="Q26" s="245"/>
      <c r="R26" s="246"/>
      <c r="S26" s="245">
        <v>2019</v>
      </c>
      <c r="T26" s="245"/>
      <c r="U26" s="245"/>
      <c r="V26" s="246"/>
      <c r="W26" s="245">
        <v>2020</v>
      </c>
      <c r="X26" s="245"/>
      <c r="Y26" s="245"/>
      <c r="Z26" s="246"/>
      <c r="AA26" s="245">
        <v>2021</v>
      </c>
      <c r="AB26" s="245"/>
      <c r="AC26" s="245"/>
      <c r="AD26" s="246" t="s">
        <v>257</v>
      </c>
      <c r="AE26" s="245">
        <v>2022</v>
      </c>
      <c r="AF26" s="245" t="s">
        <v>257</v>
      </c>
      <c r="AG26" s="245" t="s">
        <v>257</v>
      </c>
      <c r="AH26" s="246" t="s">
        <v>257</v>
      </c>
    </row>
    <row r="27" spans="1:34" ht="10.5">
      <c r="A27" s="247" t="s">
        <v>207</v>
      </c>
      <c r="B27" s="248" t="s">
        <v>59</v>
      </c>
      <c r="C27" s="248" t="s">
        <v>59</v>
      </c>
      <c r="D27" s="248" t="s">
        <v>59</v>
      </c>
      <c r="E27" s="248" t="s">
        <v>59</v>
      </c>
      <c r="F27" s="248" t="s">
        <v>59</v>
      </c>
      <c r="G27" s="248" t="s">
        <v>59</v>
      </c>
      <c r="H27" s="248" t="s">
        <v>59</v>
      </c>
      <c r="I27" s="248" t="s">
        <v>59</v>
      </c>
      <c r="K27" s="248" t="s">
        <v>14</v>
      </c>
      <c r="L27" s="248" t="s">
        <v>15</v>
      </c>
      <c r="M27" s="248" t="s">
        <v>16</v>
      </c>
      <c r="N27" s="249" t="s">
        <v>17</v>
      </c>
      <c r="O27" s="248" t="s">
        <v>14</v>
      </c>
      <c r="P27" s="248" t="s">
        <v>15</v>
      </c>
      <c r="Q27" s="248" t="s">
        <v>16</v>
      </c>
      <c r="R27" s="249" t="s">
        <v>17</v>
      </c>
      <c r="S27" s="248" t="s">
        <v>14</v>
      </c>
      <c r="T27" s="248" t="s">
        <v>15</v>
      </c>
      <c r="U27" s="248" t="s">
        <v>16</v>
      </c>
      <c r="V27" s="249" t="s">
        <v>17</v>
      </c>
      <c r="W27" s="248" t="s">
        <v>14</v>
      </c>
      <c r="X27" s="248" t="s">
        <v>15</v>
      </c>
      <c r="Y27" s="248" t="s">
        <v>16</v>
      </c>
      <c r="Z27" s="249" t="s">
        <v>17</v>
      </c>
      <c r="AA27" s="248" t="s">
        <v>14</v>
      </c>
      <c r="AB27" s="248" t="s">
        <v>15</v>
      </c>
      <c r="AC27" s="248" t="str">
        <f>+AC$6</f>
        <v>Q3</v>
      </c>
      <c r="AD27" s="249" t="s">
        <v>17</v>
      </c>
      <c r="AE27" s="248" t="s">
        <v>14</v>
      </c>
      <c r="AF27" s="248" t="s">
        <v>15</v>
      </c>
      <c r="AG27" s="248" t="s">
        <v>16</v>
      </c>
      <c r="AH27" s="249" t="s">
        <v>17</v>
      </c>
    </row>
    <row r="28" spans="1:34">
      <c r="A28" s="250" t="s">
        <v>223</v>
      </c>
      <c r="B28" s="251">
        <v>4370</v>
      </c>
      <c r="C28" s="251">
        <v>3802</v>
      </c>
      <c r="D28" s="265">
        <v>5107</v>
      </c>
      <c r="E28" s="265">
        <v>6713</v>
      </c>
      <c r="F28" s="251">
        <v>7436</v>
      </c>
      <c r="G28" s="251">
        <v>6639</v>
      </c>
      <c r="H28" s="251">
        <f>SUM(AA28:AD28)</f>
        <v>7808</v>
      </c>
      <c r="I28" s="251">
        <v>9277</v>
      </c>
      <c r="K28" s="265">
        <v>1166</v>
      </c>
      <c r="L28" s="265">
        <v>1242</v>
      </c>
      <c r="M28" s="265">
        <v>1261</v>
      </c>
      <c r="N28" s="266">
        <v>1438</v>
      </c>
      <c r="O28" s="265">
        <v>1351</v>
      </c>
      <c r="P28" s="265">
        <v>1741</v>
      </c>
      <c r="Q28" s="265">
        <v>1755</v>
      </c>
      <c r="R28" s="266">
        <v>1866</v>
      </c>
      <c r="S28" s="265">
        <v>1707</v>
      </c>
      <c r="T28" s="265">
        <v>1961</v>
      </c>
      <c r="U28" s="265">
        <v>1923</v>
      </c>
      <c r="V28" s="266">
        <v>1845</v>
      </c>
      <c r="W28" s="265">
        <v>1586</v>
      </c>
      <c r="X28" s="265">
        <v>1441</v>
      </c>
      <c r="Y28" s="265">
        <v>1646</v>
      </c>
      <c r="Z28" s="266">
        <v>1966</v>
      </c>
      <c r="AA28" s="265">
        <v>1696</v>
      </c>
      <c r="AB28" s="265">
        <v>1880</v>
      </c>
      <c r="AC28" s="265">
        <v>1909</v>
      </c>
      <c r="AD28" s="266">
        <v>2323</v>
      </c>
      <c r="AE28" s="265">
        <v>2142</v>
      </c>
      <c r="AF28" s="265">
        <v>1891</v>
      </c>
      <c r="AG28" s="265">
        <v>2417</v>
      </c>
      <c r="AH28" s="266">
        <v>2827</v>
      </c>
    </row>
    <row r="29" spans="1:34">
      <c r="A29" s="250" t="s">
        <v>71</v>
      </c>
      <c r="B29" s="254">
        <v>957</v>
      </c>
      <c r="C29" s="254">
        <v>937</v>
      </c>
      <c r="D29" s="251">
        <v>1146.0051558893001</v>
      </c>
      <c r="E29" s="251">
        <v>1239</v>
      </c>
      <c r="F29" s="251">
        <v>1252</v>
      </c>
      <c r="G29" s="251">
        <v>1097</v>
      </c>
      <c r="H29" s="251">
        <f>SUM(AA29:AD29)</f>
        <v>1784</v>
      </c>
      <c r="I29" s="251">
        <v>2114</v>
      </c>
      <c r="K29" s="251">
        <v>321</v>
      </c>
      <c r="L29" s="251">
        <v>328</v>
      </c>
      <c r="M29" s="251">
        <v>279</v>
      </c>
      <c r="N29" s="252">
        <v>218.0051558893</v>
      </c>
      <c r="O29" s="251">
        <v>287</v>
      </c>
      <c r="P29" s="251">
        <v>304</v>
      </c>
      <c r="Q29" s="251">
        <v>324</v>
      </c>
      <c r="R29" s="252">
        <v>324</v>
      </c>
      <c r="S29" s="251">
        <v>371</v>
      </c>
      <c r="T29" s="251">
        <v>429</v>
      </c>
      <c r="U29" s="251">
        <v>157</v>
      </c>
      <c r="V29" s="252">
        <v>295</v>
      </c>
      <c r="W29" s="251">
        <v>337</v>
      </c>
      <c r="X29" s="251">
        <v>143</v>
      </c>
      <c r="Y29" s="251">
        <v>254</v>
      </c>
      <c r="Z29" s="252">
        <v>363</v>
      </c>
      <c r="AA29" s="251">
        <v>386</v>
      </c>
      <c r="AB29" s="251">
        <v>416</v>
      </c>
      <c r="AC29" s="251">
        <v>502</v>
      </c>
      <c r="AD29" s="252">
        <v>480</v>
      </c>
      <c r="AE29" s="251">
        <v>520</v>
      </c>
      <c r="AF29" s="251">
        <v>500</v>
      </c>
      <c r="AG29" s="251">
        <v>571</v>
      </c>
      <c r="AH29" s="252">
        <v>523</v>
      </c>
    </row>
    <row r="30" spans="1:34">
      <c r="A30" s="250" t="s">
        <v>224</v>
      </c>
      <c r="B30" s="256">
        <v>-152</v>
      </c>
      <c r="C30" s="256">
        <v>-191</v>
      </c>
      <c r="D30" s="265">
        <v>-323</v>
      </c>
      <c r="E30" s="251">
        <v>-567</v>
      </c>
      <c r="F30" s="251">
        <v>-552</v>
      </c>
      <c r="G30" s="251">
        <v>-354</v>
      </c>
      <c r="H30" s="251">
        <f t="shared" ref="H30:H33" si="3">SUM(AA30:AD30)</f>
        <v>-597</v>
      </c>
      <c r="I30" s="251">
        <v>-244</v>
      </c>
      <c r="K30" s="265">
        <v>-73</v>
      </c>
      <c r="L30" s="265">
        <v>-102</v>
      </c>
      <c r="M30" s="265">
        <v>-20</v>
      </c>
      <c r="N30" s="266">
        <v>-128</v>
      </c>
      <c r="O30" s="265">
        <v>-123</v>
      </c>
      <c r="P30" s="265">
        <v>-235</v>
      </c>
      <c r="Q30" s="265">
        <v>-181</v>
      </c>
      <c r="R30" s="266">
        <v>-28</v>
      </c>
      <c r="S30" s="265">
        <v>-148</v>
      </c>
      <c r="T30" s="265">
        <v>-127</v>
      </c>
      <c r="U30" s="265">
        <v>-153</v>
      </c>
      <c r="V30" s="266">
        <v>-124</v>
      </c>
      <c r="W30" s="265">
        <v>9</v>
      </c>
      <c r="X30" s="265">
        <v>-166</v>
      </c>
      <c r="Y30" s="265">
        <v>-80</v>
      </c>
      <c r="Z30" s="266">
        <v>-117</v>
      </c>
      <c r="AA30" s="265">
        <v>-215</v>
      </c>
      <c r="AB30" s="265">
        <v>-114</v>
      </c>
      <c r="AC30" s="265">
        <v>-59</v>
      </c>
      <c r="AD30" s="266">
        <v>-209</v>
      </c>
      <c r="AE30" s="265">
        <v>-31</v>
      </c>
      <c r="AF30" s="265">
        <v>-10</v>
      </c>
      <c r="AG30" s="265">
        <v>-88</v>
      </c>
      <c r="AH30" s="266">
        <v>-115</v>
      </c>
    </row>
    <row r="31" spans="1:34" ht="10.5">
      <c r="A31" s="258" t="s">
        <v>6</v>
      </c>
      <c r="B31" s="259">
        <v>5175</v>
      </c>
      <c r="C31" s="259">
        <v>4548</v>
      </c>
      <c r="D31" s="259">
        <v>5930.0051558893001</v>
      </c>
      <c r="E31" s="259">
        <v>7385</v>
      </c>
      <c r="F31" s="259">
        <v>8136</v>
      </c>
      <c r="G31" s="259">
        <v>7382</v>
      </c>
      <c r="H31" s="259">
        <f t="shared" si="3"/>
        <v>8995</v>
      </c>
      <c r="I31" s="259">
        <v>11147</v>
      </c>
      <c r="K31" s="259">
        <v>1414</v>
      </c>
      <c r="L31" s="259">
        <v>1468</v>
      </c>
      <c r="M31" s="259">
        <v>1520</v>
      </c>
      <c r="N31" s="260">
        <v>1528.0051558893001</v>
      </c>
      <c r="O31" s="259">
        <v>1515</v>
      </c>
      <c r="P31" s="259">
        <v>1810</v>
      </c>
      <c r="Q31" s="259">
        <v>1898</v>
      </c>
      <c r="R31" s="260">
        <v>2162</v>
      </c>
      <c r="S31" s="259">
        <v>1930</v>
      </c>
      <c r="T31" s="259">
        <v>2263</v>
      </c>
      <c r="U31" s="259">
        <v>1927</v>
      </c>
      <c r="V31" s="260">
        <v>2016</v>
      </c>
      <c r="W31" s="259">
        <v>1932</v>
      </c>
      <c r="X31" s="259">
        <v>1418</v>
      </c>
      <c r="Y31" s="259">
        <v>1820</v>
      </c>
      <c r="Z31" s="260">
        <v>2212</v>
      </c>
      <c r="AA31" s="259">
        <v>1867</v>
      </c>
      <c r="AB31" s="259">
        <v>2182</v>
      </c>
      <c r="AC31" s="259">
        <v>2352</v>
      </c>
      <c r="AD31" s="260">
        <v>2594</v>
      </c>
      <c r="AE31" s="259">
        <v>2631</v>
      </c>
      <c r="AF31" s="259">
        <v>2381</v>
      </c>
      <c r="AG31" s="259">
        <v>2900</v>
      </c>
      <c r="AH31" s="260">
        <v>3235</v>
      </c>
    </row>
    <row r="32" spans="1:34">
      <c r="A32" s="250" t="s">
        <v>8</v>
      </c>
      <c r="B32" s="251">
        <v>-220</v>
      </c>
      <c r="C32" s="251">
        <v>-137</v>
      </c>
      <c r="D32" s="251">
        <v>-137</v>
      </c>
      <c r="E32" s="251">
        <v>-184</v>
      </c>
      <c r="F32" s="251">
        <v>-293</v>
      </c>
      <c r="G32" s="251">
        <v>-295</v>
      </c>
      <c r="H32" s="251">
        <f t="shared" si="3"/>
        <v>-31</v>
      </c>
      <c r="I32" s="251">
        <v>-369</v>
      </c>
      <c r="K32" s="251">
        <v>-23</v>
      </c>
      <c r="L32" s="251">
        <v>-10</v>
      </c>
      <c r="M32" s="251">
        <v>-19</v>
      </c>
      <c r="N32" s="252">
        <v>-85</v>
      </c>
      <c r="O32" s="251">
        <v>-57</v>
      </c>
      <c r="P32" s="251">
        <v>-44</v>
      </c>
      <c r="Q32" s="251">
        <v>-36.982705969999984</v>
      </c>
      <c r="R32" s="252">
        <v>-46.017294030000016</v>
      </c>
      <c r="S32" s="251">
        <v>-100</v>
      </c>
      <c r="T32" s="251">
        <v>-38</v>
      </c>
      <c r="U32" s="251">
        <v>-61</v>
      </c>
      <c r="V32" s="252">
        <v>-94</v>
      </c>
      <c r="W32" s="251">
        <v>-46</v>
      </c>
      <c r="X32" s="251">
        <v>-51</v>
      </c>
      <c r="Y32" s="251">
        <v>-76</v>
      </c>
      <c r="Z32" s="252">
        <v>-122</v>
      </c>
      <c r="AA32" s="251">
        <v>-33</v>
      </c>
      <c r="AB32" s="251">
        <v>-44</v>
      </c>
      <c r="AC32" s="251">
        <v>73</v>
      </c>
      <c r="AD32" s="252">
        <v>-27</v>
      </c>
      <c r="AE32" s="251">
        <v>-67</v>
      </c>
      <c r="AF32" s="251">
        <v>-89</v>
      </c>
      <c r="AG32" s="251">
        <v>-24</v>
      </c>
      <c r="AH32" s="252">
        <v>-189</v>
      </c>
    </row>
    <row r="33" spans="1:34" ht="10.5">
      <c r="A33" s="258" t="s">
        <v>9</v>
      </c>
      <c r="B33" s="259">
        <v>4955</v>
      </c>
      <c r="C33" s="259">
        <v>4411</v>
      </c>
      <c r="D33" s="259">
        <v>5793</v>
      </c>
      <c r="E33" s="259">
        <v>7201</v>
      </c>
      <c r="F33" s="259">
        <v>7843</v>
      </c>
      <c r="G33" s="259">
        <v>7087</v>
      </c>
      <c r="H33" s="259">
        <f t="shared" si="3"/>
        <v>8964</v>
      </c>
      <c r="I33" s="259">
        <v>10778</v>
      </c>
      <c r="K33" s="259">
        <v>1391</v>
      </c>
      <c r="L33" s="259">
        <v>1458</v>
      </c>
      <c r="M33" s="259">
        <v>1501</v>
      </c>
      <c r="N33" s="260">
        <v>1443</v>
      </c>
      <c r="O33" s="259">
        <v>1458</v>
      </c>
      <c r="P33" s="259">
        <v>1766</v>
      </c>
      <c r="Q33" s="259">
        <v>1861.0172940299999</v>
      </c>
      <c r="R33" s="260">
        <v>2116.1874796013699</v>
      </c>
      <c r="S33" s="259">
        <v>1830</v>
      </c>
      <c r="T33" s="259">
        <v>2225</v>
      </c>
      <c r="U33" s="259">
        <v>1866</v>
      </c>
      <c r="V33" s="260">
        <v>1922</v>
      </c>
      <c r="W33" s="259">
        <v>1886</v>
      </c>
      <c r="X33" s="259">
        <v>1367</v>
      </c>
      <c r="Y33" s="259">
        <v>1744</v>
      </c>
      <c r="Z33" s="260">
        <v>2090</v>
      </c>
      <c r="AA33" s="259">
        <v>1834</v>
      </c>
      <c r="AB33" s="259">
        <v>2138</v>
      </c>
      <c r="AC33" s="259">
        <v>2425</v>
      </c>
      <c r="AD33" s="260">
        <v>2567</v>
      </c>
      <c r="AE33" s="259">
        <v>2564</v>
      </c>
      <c r="AF33" s="259">
        <v>2292</v>
      </c>
      <c r="AG33" s="259">
        <v>2876</v>
      </c>
      <c r="AH33" s="260">
        <v>3046</v>
      </c>
    </row>
    <row r="34" spans="1:34" ht="10.5">
      <c r="A34" s="244"/>
      <c r="B34" s="267"/>
      <c r="C34" s="268"/>
      <c r="D34" s="267"/>
      <c r="E34" s="267"/>
      <c r="F34" s="267"/>
      <c r="G34" s="267"/>
      <c r="H34" s="267"/>
      <c r="I34" s="267"/>
      <c r="K34" s="267"/>
      <c r="L34" s="267"/>
      <c r="M34" s="267"/>
      <c r="N34" s="269"/>
      <c r="O34" s="267"/>
      <c r="P34" s="267"/>
      <c r="Q34" s="267"/>
      <c r="R34" s="269"/>
      <c r="S34" s="267"/>
      <c r="T34" s="267"/>
      <c r="U34" s="267"/>
      <c r="V34" s="269"/>
      <c r="W34" s="267"/>
      <c r="X34" s="267"/>
      <c r="Y34" s="267"/>
      <c r="Z34" s="269"/>
      <c r="AA34" s="267"/>
      <c r="AB34" s="267"/>
      <c r="AC34" s="267"/>
      <c r="AD34" s="269"/>
      <c r="AE34" s="267"/>
      <c r="AF34" s="267"/>
      <c r="AG34" s="267"/>
      <c r="AH34" s="269"/>
    </row>
    <row r="35" spans="1:34" ht="10.5">
      <c r="A35" s="244"/>
      <c r="B35" s="267"/>
      <c r="C35" s="267"/>
      <c r="D35" s="267"/>
      <c r="E35" s="267"/>
      <c r="F35" s="267"/>
      <c r="G35" s="267"/>
      <c r="H35" s="267"/>
      <c r="I35" s="267"/>
      <c r="K35" s="267"/>
      <c r="L35" s="267"/>
      <c r="M35" s="267"/>
      <c r="N35" s="269"/>
      <c r="O35" s="267"/>
      <c r="P35" s="267"/>
      <c r="Q35" s="267"/>
      <c r="R35" s="269"/>
      <c r="S35" s="267"/>
      <c r="T35" s="267"/>
      <c r="U35" s="267"/>
      <c r="V35" s="269"/>
      <c r="W35" s="267"/>
      <c r="X35" s="267"/>
      <c r="Y35" s="267"/>
      <c r="Z35" s="269"/>
      <c r="AA35" s="267"/>
      <c r="AB35" s="267"/>
      <c r="AC35" s="267"/>
      <c r="AD35" s="269"/>
      <c r="AE35" s="267"/>
      <c r="AF35" s="267"/>
      <c r="AG35" s="267"/>
      <c r="AH35" s="269"/>
    </row>
    <row r="36" spans="1:34" ht="10.5">
      <c r="A36" s="244" t="s">
        <v>7</v>
      </c>
      <c r="B36" s="245">
        <v>2015</v>
      </c>
      <c r="C36" s="245">
        <v>2016</v>
      </c>
      <c r="D36" s="245">
        <v>2017</v>
      </c>
      <c r="E36" s="245">
        <v>2018</v>
      </c>
      <c r="F36" s="245">
        <v>2019</v>
      </c>
      <c r="G36" s="245">
        <v>2020</v>
      </c>
      <c r="H36" s="245">
        <v>2021</v>
      </c>
      <c r="I36" s="245">
        <f t="shared" ref="I36" si="4">SUM(AB36:AE36)</f>
        <v>2022</v>
      </c>
      <c r="K36" s="245">
        <v>2017</v>
      </c>
      <c r="L36" s="245"/>
      <c r="M36" s="245"/>
      <c r="N36" s="246"/>
      <c r="O36" s="245">
        <v>2018</v>
      </c>
      <c r="P36" s="245"/>
      <c r="Q36" s="245"/>
      <c r="R36" s="246"/>
      <c r="S36" s="245">
        <v>2019</v>
      </c>
      <c r="T36" s="245"/>
      <c r="U36" s="245"/>
      <c r="V36" s="246"/>
      <c r="W36" s="245">
        <v>2020</v>
      </c>
      <c r="X36" s="245"/>
      <c r="Y36" s="245"/>
      <c r="Z36" s="246"/>
      <c r="AA36" s="245">
        <v>2021</v>
      </c>
      <c r="AB36" s="245"/>
      <c r="AC36" s="245"/>
      <c r="AD36" s="246" t="s">
        <v>257</v>
      </c>
      <c r="AE36" s="245">
        <v>2022</v>
      </c>
      <c r="AF36" s="245" t="s">
        <v>257</v>
      </c>
      <c r="AG36" s="245" t="s">
        <v>257</v>
      </c>
      <c r="AH36" s="246" t="s">
        <v>257</v>
      </c>
    </row>
    <row r="37" spans="1:34" ht="10.5">
      <c r="A37" s="247" t="s">
        <v>207</v>
      </c>
      <c r="B37" s="248" t="s">
        <v>59</v>
      </c>
      <c r="C37" s="248" t="s">
        <v>59</v>
      </c>
      <c r="D37" s="248" t="s">
        <v>59</v>
      </c>
      <c r="E37" s="248" t="s">
        <v>59</v>
      </c>
      <c r="F37" s="248" t="s">
        <v>59</v>
      </c>
      <c r="G37" s="248" t="s">
        <v>59</v>
      </c>
      <c r="H37" s="248" t="s">
        <v>400</v>
      </c>
      <c r="I37" s="248" t="s">
        <v>59</v>
      </c>
      <c r="K37" s="248" t="s">
        <v>14</v>
      </c>
      <c r="L37" s="248" t="s">
        <v>15</v>
      </c>
      <c r="M37" s="248" t="s">
        <v>16</v>
      </c>
      <c r="N37" s="249" t="s">
        <v>17</v>
      </c>
      <c r="O37" s="248" t="s">
        <v>14</v>
      </c>
      <c r="P37" s="248" t="s">
        <v>15</v>
      </c>
      <c r="Q37" s="248" t="s">
        <v>16</v>
      </c>
      <c r="R37" s="249" t="s">
        <v>17</v>
      </c>
      <c r="S37" s="248" t="s">
        <v>14</v>
      </c>
      <c r="T37" s="248" t="s">
        <v>15</v>
      </c>
      <c r="U37" s="248" t="s">
        <v>16</v>
      </c>
      <c r="V37" s="249" t="s">
        <v>17</v>
      </c>
      <c r="W37" s="248" t="s">
        <v>14</v>
      </c>
      <c r="X37" s="248" t="s">
        <v>15</v>
      </c>
      <c r="Y37" s="248" t="s">
        <v>16</v>
      </c>
      <c r="Z37" s="249" t="s">
        <v>17</v>
      </c>
      <c r="AA37" s="248" t="s">
        <v>14</v>
      </c>
      <c r="AB37" s="248" t="s">
        <v>15</v>
      </c>
      <c r="AC37" s="248" t="str">
        <f>+AC$6</f>
        <v>Q3</v>
      </c>
      <c r="AD37" s="249" t="s">
        <v>17</v>
      </c>
      <c r="AE37" s="248" t="s">
        <v>14</v>
      </c>
      <c r="AF37" s="248" t="s">
        <v>15</v>
      </c>
      <c r="AG37" s="248" t="s">
        <v>16</v>
      </c>
      <c r="AH37" s="249" t="s">
        <v>17</v>
      </c>
    </row>
    <row r="38" spans="1:34">
      <c r="A38" s="250" t="s">
        <v>223</v>
      </c>
      <c r="B38" s="270">
        <v>0.21509081065117883</v>
      </c>
      <c r="C38" s="270">
        <v>0.20118531061487988</v>
      </c>
      <c r="D38" s="270">
        <v>0.22816423178304965</v>
      </c>
      <c r="E38" s="271">
        <v>0.23524877365101612</v>
      </c>
      <c r="F38" s="270">
        <v>0.249</v>
      </c>
      <c r="G38" s="270">
        <v>0.247</v>
      </c>
      <c r="H38" s="270">
        <f>H28/H17</f>
        <v>0.26630286493860844</v>
      </c>
      <c r="I38" s="270">
        <v>0.246</v>
      </c>
      <c r="K38" s="270">
        <v>0.223</v>
      </c>
      <c r="L38" s="270">
        <v>0.22600000000000001</v>
      </c>
      <c r="M38" s="270">
        <v>0.23300000000000001</v>
      </c>
      <c r="N38" s="272">
        <v>0.23</v>
      </c>
      <c r="O38" s="270">
        <v>0.22700000000000001</v>
      </c>
      <c r="P38" s="270">
        <v>0.23799999999999999</v>
      </c>
      <c r="Q38" s="270">
        <v>0.245</v>
      </c>
      <c r="R38" s="272">
        <v>0.23100000000000001</v>
      </c>
      <c r="S38" s="270">
        <v>0.24</v>
      </c>
      <c r="T38" s="270">
        <v>0.255</v>
      </c>
      <c r="U38" s="270">
        <v>0.26200000000000001</v>
      </c>
      <c r="V38" s="272">
        <v>0.23799999999999999</v>
      </c>
      <c r="W38" s="270">
        <v>0.24099999999999999</v>
      </c>
      <c r="X38" s="270">
        <v>0.22438492681407701</v>
      </c>
      <c r="Y38" s="270">
        <v>0.25436563127800998</v>
      </c>
      <c r="Z38" s="272">
        <v>0.26400000000000001</v>
      </c>
      <c r="AA38" s="270">
        <v>0.26536999999999999</v>
      </c>
      <c r="AB38" s="270">
        <v>0.26200000000000001</v>
      </c>
      <c r="AC38" s="270">
        <v>0.26400000000000001</v>
      </c>
      <c r="AD38" s="272">
        <v>0.27300000000000002</v>
      </c>
      <c r="AE38" s="270">
        <v>0.26100000000000001</v>
      </c>
      <c r="AF38" s="270">
        <v>0.217</v>
      </c>
      <c r="AG38" s="270">
        <v>0.24797373550836199</v>
      </c>
      <c r="AH38" s="272">
        <v>0.256580141586495</v>
      </c>
    </row>
    <row r="39" spans="1:34">
      <c r="A39" s="250" t="s">
        <v>71</v>
      </c>
      <c r="B39" s="273">
        <v>0.11832344213649852</v>
      </c>
      <c r="C39" s="273">
        <v>0.11823343848580442</v>
      </c>
      <c r="D39" s="273">
        <v>0.13114847827369075</v>
      </c>
      <c r="E39" s="273">
        <v>0.13011790000000001</v>
      </c>
      <c r="F39" s="273">
        <v>0.11600000000000001</v>
      </c>
      <c r="G39" s="273">
        <v>0.122</v>
      </c>
      <c r="H39" s="273">
        <f>H29/H20</f>
        <v>0.17481626653601176</v>
      </c>
      <c r="I39" s="273">
        <v>0.17499999999999999</v>
      </c>
      <c r="K39" s="273">
        <v>0.14799999999999999</v>
      </c>
      <c r="L39" s="273">
        <v>0.14299999999999999</v>
      </c>
      <c r="M39" s="273">
        <v>0.13</v>
      </c>
      <c r="N39" s="274">
        <v>0.10199999999999999</v>
      </c>
      <c r="O39" s="273">
        <v>0.128</v>
      </c>
      <c r="P39" s="273">
        <v>0.124</v>
      </c>
      <c r="Q39" s="273">
        <v>0.13598930000000001</v>
      </c>
      <c r="R39" s="274">
        <v>0.13259570000000001</v>
      </c>
      <c r="S39" s="273">
        <v>0.14237610000000001</v>
      </c>
      <c r="T39" s="273">
        <v>0.14649909999999999</v>
      </c>
      <c r="U39" s="273">
        <v>5.6908899999999998E-2</v>
      </c>
      <c r="V39" s="274">
        <v>0.11799999999999999</v>
      </c>
      <c r="W39" s="273">
        <v>0.13500000000000001</v>
      </c>
      <c r="X39" s="273">
        <v>7.0270270270270302E-2</v>
      </c>
      <c r="Y39" s="273">
        <v>0.115664845173042</v>
      </c>
      <c r="Z39" s="274">
        <v>0.159</v>
      </c>
      <c r="AA39" s="273">
        <v>0.16461000000000001</v>
      </c>
      <c r="AB39" s="273">
        <v>0.16500000000000001</v>
      </c>
      <c r="AC39" s="273">
        <v>0.186</v>
      </c>
      <c r="AD39" s="274">
        <v>0.182</v>
      </c>
      <c r="AE39" s="273">
        <v>0.18099999999999999</v>
      </c>
      <c r="AF39" s="273">
        <v>0.159</v>
      </c>
      <c r="AG39" s="273">
        <v>0.188200395517469</v>
      </c>
      <c r="AH39" s="274">
        <v>0.17526809651474501</v>
      </c>
    </row>
    <row r="40" spans="1:34" ht="10.5">
      <c r="A40" s="258" t="s">
        <v>35</v>
      </c>
      <c r="B40" s="275">
        <v>0.18054634895161009</v>
      </c>
      <c r="C40" s="275">
        <v>0.16781049369050255</v>
      </c>
      <c r="D40" s="275">
        <v>0.189</v>
      </c>
      <c r="E40" s="275">
        <v>0.19289538983936266</v>
      </c>
      <c r="F40" s="275">
        <v>0.19900000000000001</v>
      </c>
      <c r="G40" s="275">
        <v>0.20399999999999999</v>
      </c>
      <c r="H40" s="275">
        <f>H31/H22</f>
        <v>0.22688863665027115</v>
      </c>
      <c r="I40" s="275">
        <v>0.224</v>
      </c>
      <c r="K40" s="275">
        <v>0.191</v>
      </c>
      <c r="L40" s="275">
        <v>0.186</v>
      </c>
      <c r="M40" s="275">
        <v>0.2</v>
      </c>
      <c r="N40" s="276">
        <v>0.18099999999999999</v>
      </c>
      <c r="O40" s="275">
        <v>0.18415860000000001</v>
      </c>
      <c r="P40" s="275">
        <v>0.184</v>
      </c>
      <c r="Q40" s="275">
        <v>0.19666355818049944</v>
      </c>
      <c r="R40" s="276">
        <v>0.20477363136957757</v>
      </c>
      <c r="S40" s="275">
        <v>0.19721749999999999</v>
      </c>
      <c r="T40" s="275">
        <v>0.2130041</v>
      </c>
      <c r="U40" s="275">
        <v>0.1896526</v>
      </c>
      <c r="V40" s="276">
        <v>0.19600000000000001</v>
      </c>
      <c r="W40" s="275">
        <v>0.21199999999999999</v>
      </c>
      <c r="X40" s="275">
        <v>0.167651927169544</v>
      </c>
      <c r="Y40" s="275">
        <v>0.20861989912883999</v>
      </c>
      <c r="Z40" s="276">
        <v>0.22600000000000001</v>
      </c>
      <c r="AA40" s="275">
        <v>0.21281</v>
      </c>
      <c r="AB40" s="275">
        <v>0.224</v>
      </c>
      <c r="AC40" s="275">
        <v>0.23599999999999999</v>
      </c>
      <c r="AD40" s="276">
        <v>0.23200000000000001</v>
      </c>
      <c r="AE40" s="275">
        <v>0.23699999999999999</v>
      </c>
      <c r="AF40" s="275">
        <v>0.20100000000000001</v>
      </c>
      <c r="AG40" s="275">
        <v>0.22652710513982199</v>
      </c>
      <c r="AH40" s="276">
        <v>0.23213260619977</v>
      </c>
    </row>
    <row r="41" spans="1:34" ht="10.5">
      <c r="A41" s="244"/>
      <c r="B41" s="277"/>
      <c r="C41" s="277"/>
      <c r="D41" s="277"/>
      <c r="E41" s="277"/>
      <c r="F41" s="277"/>
      <c r="G41" s="277"/>
      <c r="H41" s="277"/>
      <c r="I41" s="277"/>
      <c r="K41" s="277"/>
      <c r="L41" s="277"/>
      <c r="M41" s="277"/>
      <c r="N41" s="278"/>
      <c r="O41" s="277"/>
      <c r="P41" s="277"/>
      <c r="Q41" s="277"/>
      <c r="R41" s="278"/>
      <c r="S41" s="277"/>
      <c r="T41" s="277"/>
      <c r="U41" s="277"/>
      <c r="V41" s="278"/>
      <c r="W41" s="277"/>
      <c r="X41" s="277"/>
      <c r="Y41" s="277"/>
      <c r="Z41" s="278"/>
      <c r="AA41" s="277"/>
      <c r="AB41" s="277"/>
      <c r="AC41" s="277"/>
      <c r="AD41" s="278"/>
      <c r="AE41" s="277"/>
      <c r="AF41" s="277"/>
      <c r="AG41" s="277"/>
      <c r="AH41" s="278"/>
    </row>
    <row r="42" spans="1:34" ht="10.5">
      <c r="A42" s="244"/>
      <c r="B42" s="277"/>
      <c r="C42" s="277"/>
      <c r="D42" s="277"/>
      <c r="E42" s="277"/>
      <c r="F42" s="277"/>
      <c r="G42" s="277"/>
      <c r="H42" s="277"/>
      <c r="I42" s="277"/>
      <c r="K42" s="277"/>
      <c r="L42" s="277"/>
      <c r="M42" s="277"/>
      <c r="N42" s="278"/>
      <c r="O42" s="277"/>
      <c r="P42" s="277"/>
      <c r="Q42" s="277"/>
      <c r="R42" s="278"/>
      <c r="S42" s="277"/>
      <c r="T42" s="277"/>
      <c r="U42" s="277"/>
      <c r="V42" s="278"/>
      <c r="W42" s="277"/>
      <c r="X42" s="277"/>
      <c r="Y42" s="277"/>
      <c r="Z42" s="278"/>
      <c r="AA42" s="277"/>
      <c r="AB42" s="277"/>
      <c r="AC42" s="277"/>
      <c r="AD42" s="278"/>
      <c r="AE42" s="277"/>
      <c r="AF42" s="277"/>
      <c r="AG42" s="277"/>
      <c r="AH42" s="278"/>
    </row>
    <row r="43" spans="1:34" ht="10.5">
      <c r="A43" s="244" t="s">
        <v>395</v>
      </c>
      <c r="B43" s="245">
        <v>2015</v>
      </c>
      <c r="C43" s="245">
        <v>2016</v>
      </c>
      <c r="D43" s="245">
        <v>2017</v>
      </c>
      <c r="E43" s="245">
        <v>2018</v>
      </c>
      <c r="F43" s="245">
        <v>2019</v>
      </c>
      <c r="G43" s="245">
        <v>2020</v>
      </c>
      <c r="H43" s="245">
        <v>2021</v>
      </c>
      <c r="I43" s="245">
        <f t="shared" ref="I43" si="5">SUM(AB43:AE43)</f>
        <v>2022</v>
      </c>
      <c r="K43" s="245">
        <v>2017</v>
      </c>
      <c r="L43" s="245"/>
      <c r="M43" s="245"/>
      <c r="N43" s="246"/>
      <c r="O43" s="245">
        <v>2018</v>
      </c>
      <c r="P43" s="245"/>
      <c r="Q43" s="245"/>
      <c r="R43" s="246"/>
      <c r="S43" s="245">
        <v>2019</v>
      </c>
      <c r="T43" s="245"/>
      <c r="U43" s="245"/>
      <c r="V43" s="246"/>
      <c r="W43" s="245">
        <v>2020</v>
      </c>
      <c r="X43" s="245"/>
      <c r="Y43" s="245"/>
      <c r="Z43" s="246"/>
      <c r="AA43" s="245">
        <v>2021</v>
      </c>
      <c r="AB43" s="245"/>
      <c r="AC43" s="245"/>
      <c r="AD43" s="246" t="s">
        <v>257</v>
      </c>
      <c r="AE43" s="245">
        <v>2022</v>
      </c>
      <c r="AF43" s="245" t="s">
        <v>257</v>
      </c>
      <c r="AG43" s="245" t="s">
        <v>257</v>
      </c>
      <c r="AH43" s="246" t="s">
        <v>257</v>
      </c>
    </row>
    <row r="44" spans="1:34" ht="10.5">
      <c r="A44" s="247" t="s">
        <v>207</v>
      </c>
      <c r="B44" s="248" t="s">
        <v>59</v>
      </c>
      <c r="C44" s="248" t="s">
        <v>59</v>
      </c>
      <c r="D44" s="248" t="s">
        <v>59</v>
      </c>
      <c r="E44" s="248" t="s">
        <v>59</v>
      </c>
      <c r="F44" s="248" t="s">
        <v>59</v>
      </c>
      <c r="G44" s="248" t="s">
        <v>59</v>
      </c>
      <c r="H44" s="248" t="s">
        <v>400</v>
      </c>
      <c r="I44" s="248" t="s">
        <v>59</v>
      </c>
      <c r="K44" s="248" t="s">
        <v>14</v>
      </c>
      <c r="L44" s="248" t="s">
        <v>15</v>
      </c>
      <c r="M44" s="248" t="s">
        <v>16</v>
      </c>
      <c r="N44" s="249" t="s">
        <v>17</v>
      </c>
      <c r="O44" s="248" t="s">
        <v>14</v>
      </c>
      <c r="P44" s="248" t="s">
        <v>15</v>
      </c>
      <c r="Q44" s="248" t="s">
        <v>16</v>
      </c>
      <c r="R44" s="249" t="s">
        <v>17</v>
      </c>
      <c r="S44" s="248" t="s">
        <v>14</v>
      </c>
      <c r="T44" s="248" t="s">
        <v>15</v>
      </c>
      <c r="U44" s="248" t="s">
        <v>16</v>
      </c>
      <c r="V44" s="249" t="s">
        <v>17</v>
      </c>
      <c r="W44" s="248" t="s">
        <v>14</v>
      </c>
      <c r="X44" s="248" t="s">
        <v>15</v>
      </c>
      <c r="Y44" s="248" t="s">
        <v>16</v>
      </c>
      <c r="Z44" s="249" t="s">
        <v>17</v>
      </c>
      <c r="AA44" s="248" t="s">
        <v>14</v>
      </c>
      <c r="AB44" s="248" t="s">
        <v>15</v>
      </c>
      <c r="AC44" s="248" t="str">
        <f>+AC$6</f>
        <v>Q3</v>
      </c>
      <c r="AD44" s="249" t="s">
        <v>17</v>
      </c>
      <c r="AE44" s="248" t="s">
        <v>14</v>
      </c>
      <c r="AF44" s="248" t="s">
        <v>15</v>
      </c>
      <c r="AG44" s="248" t="s">
        <v>16</v>
      </c>
      <c r="AH44" s="249" t="s">
        <v>17</v>
      </c>
    </row>
    <row r="45" spans="1:34">
      <c r="A45" s="250" t="s">
        <v>201</v>
      </c>
      <c r="B45" s="279" t="s">
        <v>113</v>
      </c>
      <c r="C45" s="279" t="s">
        <v>113</v>
      </c>
      <c r="D45" s="279">
        <v>-163</v>
      </c>
      <c r="E45" s="279">
        <v>-66</v>
      </c>
      <c r="F45" s="279">
        <v>-194</v>
      </c>
      <c r="G45" s="279">
        <v>-99</v>
      </c>
      <c r="H45" s="279">
        <v>-270</v>
      </c>
      <c r="I45" s="279">
        <v>37</v>
      </c>
      <c r="K45" s="279">
        <v>-45</v>
      </c>
      <c r="L45" s="279">
        <v>-53</v>
      </c>
      <c r="M45" s="279">
        <v>-15</v>
      </c>
      <c r="N45" s="280">
        <v>-50</v>
      </c>
      <c r="O45" s="279">
        <v>0</v>
      </c>
      <c r="P45" s="279">
        <v>-77</v>
      </c>
      <c r="Q45" s="279">
        <v>-56</v>
      </c>
      <c r="R45" s="280">
        <v>67</v>
      </c>
      <c r="S45" s="279">
        <v>-59</v>
      </c>
      <c r="T45" s="279">
        <v>-39</v>
      </c>
      <c r="U45" s="279">
        <v>-54</v>
      </c>
      <c r="V45" s="280">
        <v>-42</v>
      </c>
      <c r="W45" s="279">
        <v>65</v>
      </c>
      <c r="X45" s="279">
        <v>-91</v>
      </c>
      <c r="Y45" s="279">
        <v>-21</v>
      </c>
      <c r="Z45" s="280">
        <v>-52</v>
      </c>
      <c r="AA45" s="279">
        <v>-149</v>
      </c>
      <c r="AB45" s="279">
        <v>-15</v>
      </c>
      <c r="AC45" s="279">
        <v>21</v>
      </c>
      <c r="AD45" s="280">
        <v>-127</v>
      </c>
      <c r="AE45" s="279">
        <v>43</v>
      </c>
      <c r="AF45" s="279">
        <v>75</v>
      </c>
      <c r="AG45" s="279">
        <v>-14</v>
      </c>
      <c r="AH45" s="280">
        <v>-67</v>
      </c>
    </row>
    <row r="46" spans="1:34">
      <c r="A46" s="250" t="s">
        <v>217</v>
      </c>
      <c r="B46" s="279" t="s">
        <v>113</v>
      </c>
      <c r="C46" s="279" t="s">
        <v>113</v>
      </c>
      <c r="D46" s="279" t="s">
        <v>113</v>
      </c>
      <c r="E46" s="279" t="s">
        <v>113</v>
      </c>
      <c r="F46" s="279">
        <v>-28</v>
      </c>
      <c r="G46" s="281" t="s">
        <v>113</v>
      </c>
      <c r="H46" s="281" t="s">
        <v>113</v>
      </c>
      <c r="I46" s="281" t="s">
        <v>113</v>
      </c>
      <c r="K46" s="279" t="s">
        <v>113</v>
      </c>
      <c r="L46" s="279" t="s">
        <v>113</v>
      </c>
      <c r="M46" s="279" t="s">
        <v>113</v>
      </c>
      <c r="N46" s="280" t="s">
        <v>113</v>
      </c>
      <c r="O46" s="279" t="s">
        <v>113</v>
      </c>
      <c r="P46" s="279" t="s">
        <v>113</v>
      </c>
      <c r="Q46" s="279" t="s">
        <v>113</v>
      </c>
      <c r="R46" s="280" t="s">
        <v>113</v>
      </c>
      <c r="S46" s="279" t="s">
        <v>113</v>
      </c>
      <c r="T46" s="279" t="s">
        <v>113</v>
      </c>
      <c r="U46" s="279" t="s">
        <v>113</v>
      </c>
      <c r="V46" s="280" t="s">
        <v>113</v>
      </c>
      <c r="W46" s="279" t="s">
        <v>113</v>
      </c>
      <c r="X46" s="279" t="s">
        <v>113</v>
      </c>
      <c r="Y46" s="279" t="s">
        <v>113</v>
      </c>
      <c r="Z46" s="280" t="s">
        <v>113</v>
      </c>
      <c r="AA46" s="279" t="s">
        <v>113</v>
      </c>
      <c r="AB46" s="279" t="s">
        <v>113</v>
      </c>
      <c r="AC46" s="279" t="s">
        <v>113</v>
      </c>
      <c r="AD46" s="280" t="s">
        <v>113</v>
      </c>
      <c r="AE46" s="279" t="s">
        <v>113</v>
      </c>
      <c r="AF46" s="279" t="s">
        <v>113</v>
      </c>
      <c r="AG46" s="279" t="s">
        <v>113</v>
      </c>
      <c r="AH46" s="280" t="s">
        <v>113</v>
      </c>
    </row>
    <row r="47" spans="1:34">
      <c r="A47" s="282" t="s">
        <v>121</v>
      </c>
      <c r="B47" s="279" t="s">
        <v>113</v>
      </c>
      <c r="C47" s="279" t="s">
        <v>113</v>
      </c>
      <c r="D47" s="279" t="s">
        <v>113</v>
      </c>
      <c r="E47" s="279">
        <v>-328</v>
      </c>
      <c r="F47" s="279" t="s">
        <v>113</v>
      </c>
      <c r="G47" s="281" t="s">
        <v>113</v>
      </c>
      <c r="H47" s="281" t="s">
        <v>113</v>
      </c>
      <c r="I47" s="281" t="s">
        <v>113</v>
      </c>
      <c r="K47" s="279" t="s">
        <v>113</v>
      </c>
      <c r="L47" s="279" t="s">
        <v>113</v>
      </c>
      <c r="M47" s="279" t="s">
        <v>113</v>
      </c>
      <c r="N47" s="280" t="s">
        <v>113</v>
      </c>
      <c r="O47" s="279">
        <v>-95</v>
      </c>
      <c r="P47" s="279">
        <v>-104</v>
      </c>
      <c r="Q47" s="279">
        <v>-70</v>
      </c>
      <c r="R47" s="280">
        <v>-59</v>
      </c>
      <c r="S47" s="279" t="s">
        <v>113</v>
      </c>
      <c r="T47" s="279" t="s">
        <v>113</v>
      </c>
      <c r="U47" s="279" t="s">
        <v>113</v>
      </c>
      <c r="V47" s="280" t="s">
        <v>113</v>
      </c>
      <c r="W47" s="279" t="s">
        <v>113</v>
      </c>
      <c r="X47" s="279" t="s">
        <v>113</v>
      </c>
      <c r="Y47" s="279" t="s">
        <v>113</v>
      </c>
      <c r="Z47" s="280" t="s">
        <v>113</v>
      </c>
      <c r="AA47" s="279" t="s">
        <v>113</v>
      </c>
      <c r="AB47" s="279" t="s">
        <v>113</v>
      </c>
      <c r="AC47" s="279" t="s">
        <v>113</v>
      </c>
      <c r="AD47" s="280" t="s">
        <v>113</v>
      </c>
      <c r="AE47" s="279" t="s">
        <v>113</v>
      </c>
      <c r="AF47" s="279" t="s">
        <v>113</v>
      </c>
      <c r="AG47" s="279" t="s">
        <v>113</v>
      </c>
      <c r="AH47" s="280" t="s">
        <v>113</v>
      </c>
    </row>
    <row r="48" spans="1:34" s="57" customFormat="1">
      <c r="A48" s="282" t="s">
        <v>202</v>
      </c>
      <c r="B48" s="279" t="s">
        <v>113</v>
      </c>
      <c r="C48" s="279" t="s">
        <v>113</v>
      </c>
      <c r="D48" s="279" t="s">
        <v>113</v>
      </c>
      <c r="E48" s="279" t="s">
        <v>113</v>
      </c>
      <c r="F48" s="279">
        <v>-28</v>
      </c>
      <c r="G48" s="279">
        <v>-84</v>
      </c>
      <c r="H48" s="279">
        <v>167</v>
      </c>
      <c r="I48" s="279">
        <v>-560</v>
      </c>
      <c r="K48" s="279" t="s">
        <v>113</v>
      </c>
      <c r="L48" s="279" t="s">
        <v>113</v>
      </c>
      <c r="M48" s="279" t="s">
        <v>113</v>
      </c>
      <c r="N48" s="280" t="s">
        <v>113</v>
      </c>
      <c r="O48" s="279" t="s">
        <v>113</v>
      </c>
      <c r="P48" s="279" t="s">
        <v>113</v>
      </c>
      <c r="Q48" s="279" t="s">
        <v>113</v>
      </c>
      <c r="R48" s="280" t="s">
        <v>113</v>
      </c>
      <c r="S48" s="279" t="s">
        <v>113</v>
      </c>
      <c r="T48" s="279" t="s">
        <v>113</v>
      </c>
      <c r="U48" s="279" t="s">
        <v>113</v>
      </c>
      <c r="V48" s="280">
        <v>-28</v>
      </c>
      <c r="W48" s="279">
        <v>-34</v>
      </c>
      <c r="X48" s="279">
        <v>-17</v>
      </c>
      <c r="Y48" s="279">
        <v>-33</v>
      </c>
      <c r="Z48" s="280" t="s">
        <v>113</v>
      </c>
      <c r="AA48" s="279" t="s">
        <v>113</v>
      </c>
      <c r="AB48" s="279" t="s">
        <v>113</v>
      </c>
      <c r="AC48" s="279" t="s">
        <v>113</v>
      </c>
      <c r="AD48" s="280">
        <v>167</v>
      </c>
      <c r="AE48" s="279" t="s">
        <v>113</v>
      </c>
      <c r="AF48" s="279">
        <v>-422</v>
      </c>
      <c r="AG48" s="279">
        <v>-138</v>
      </c>
      <c r="AH48" s="280" t="s">
        <v>113</v>
      </c>
    </row>
    <row r="49" spans="1:34">
      <c r="A49" s="250" t="s">
        <v>203</v>
      </c>
      <c r="B49" s="279" t="s">
        <v>113</v>
      </c>
      <c r="C49" s="279" t="s">
        <v>113</v>
      </c>
      <c r="D49" s="279" t="s">
        <v>113</v>
      </c>
      <c r="E49" s="279" t="s">
        <v>113</v>
      </c>
      <c r="F49" s="279">
        <v>-196</v>
      </c>
      <c r="G49" s="279">
        <v>-104</v>
      </c>
      <c r="H49" s="281" t="s">
        <v>113</v>
      </c>
      <c r="I49" s="281">
        <v>-85</v>
      </c>
      <c r="K49" s="279" t="s">
        <v>113</v>
      </c>
      <c r="L49" s="279" t="s">
        <v>113</v>
      </c>
      <c r="M49" s="279" t="s">
        <v>113</v>
      </c>
      <c r="N49" s="280" t="s">
        <v>113</v>
      </c>
      <c r="O49" s="279" t="s">
        <v>113</v>
      </c>
      <c r="P49" s="279" t="s">
        <v>113</v>
      </c>
      <c r="Q49" s="279" t="s">
        <v>113</v>
      </c>
      <c r="R49" s="280" t="s">
        <v>113</v>
      </c>
      <c r="S49" s="279" t="s">
        <v>113</v>
      </c>
      <c r="T49" s="279" t="s">
        <v>113</v>
      </c>
      <c r="U49" s="279">
        <v>-179</v>
      </c>
      <c r="V49" s="280">
        <v>-17</v>
      </c>
      <c r="W49" s="279">
        <v>-10</v>
      </c>
      <c r="X49" s="279">
        <v>-57</v>
      </c>
      <c r="Y49" s="279">
        <v>-22</v>
      </c>
      <c r="Z49" s="280">
        <v>-15</v>
      </c>
      <c r="AA49" s="279" t="s">
        <v>113</v>
      </c>
      <c r="AB49" s="279" t="s">
        <v>113</v>
      </c>
      <c r="AC49" s="279" t="s">
        <v>113</v>
      </c>
      <c r="AD49" s="280" t="s">
        <v>113</v>
      </c>
      <c r="AE49" s="279" t="s">
        <v>113</v>
      </c>
      <c r="AF49" s="279">
        <v>-73</v>
      </c>
      <c r="AG49" s="279">
        <v>-12</v>
      </c>
      <c r="AH49" s="280" t="s">
        <v>113</v>
      </c>
    </row>
    <row r="50" spans="1:34" ht="10.5">
      <c r="A50" s="258" t="s">
        <v>35</v>
      </c>
      <c r="B50" s="283"/>
      <c r="C50" s="283"/>
      <c r="D50" s="259">
        <v>-163</v>
      </c>
      <c r="E50" s="259">
        <v>-394</v>
      </c>
      <c r="F50" s="259">
        <v>-446</v>
      </c>
      <c r="G50" s="259">
        <v>-287</v>
      </c>
      <c r="H50" s="259">
        <v>-103</v>
      </c>
      <c r="I50" s="259">
        <v>-608</v>
      </c>
      <c r="K50" s="259">
        <v>-45</v>
      </c>
      <c r="L50" s="259">
        <v>-53</v>
      </c>
      <c r="M50" s="259">
        <v>-15</v>
      </c>
      <c r="N50" s="260">
        <v>-50</v>
      </c>
      <c r="O50" s="259">
        <v>-95</v>
      </c>
      <c r="P50" s="259">
        <v>-181</v>
      </c>
      <c r="Q50" s="259">
        <v>-126</v>
      </c>
      <c r="R50" s="260">
        <v>8</v>
      </c>
      <c r="S50" s="259">
        <v>-59</v>
      </c>
      <c r="T50" s="259">
        <v>-39</v>
      </c>
      <c r="U50" s="259">
        <v>-233</v>
      </c>
      <c r="V50" s="260">
        <v>-115</v>
      </c>
      <c r="W50" s="259">
        <v>21</v>
      </c>
      <c r="X50" s="259">
        <v>-164.6</v>
      </c>
      <c r="Y50" s="259">
        <v>-75.8</v>
      </c>
      <c r="Z50" s="260">
        <v>-67</v>
      </c>
      <c r="AA50" s="259">
        <v>-149</v>
      </c>
      <c r="AB50" s="259">
        <v>-15</v>
      </c>
      <c r="AC50" s="259">
        <v>21</v>
      </c>
      <c r="AD50" s="260">
        <v>40</v>
      </c>
      <c r="AE50" s="259">
        <v>43</v>
      </c>
      <c r="AF50" s="259">
        <v>-420</v>
      </c>
      <c r="AG50" s="259">
        <v>-164</v>
      </c>
      <c r="AH50" s="260">
        <v>-67</v>
      </c>
    </row>
    <row r="51" spans="1:34" ht="10.5">
      <c r="A51" s="244"/>
      <c r="B51" s="277"/>
      <c r="C51" s="277"/>
      <c r="D51" s="277"/>
      <c r="E51" s="277"/>
      <c r="F51" s="277"/>
      <c r="G51" s="277"/>
      <c r="H51" s="277"/>
      <c r="I51" s="277"/>
      <c r="K51" s="277"/>
      <c r="L51" s="277"/>
      <c r="M51" s="277"/>
      <c r="N51" s="278"/>
      <c r="O51" s="277"/>
      <c r="P51" s="277"/>
      <c r="Q51" s="277"/>
      <c r="R51" s="278"/>
      <c r="S51" s="277"/>
      <c r="T51" s="277"/>
      <c r="U51" s="277"/>
      <c r="V51" s="278"/>
      <c r="W51" s="277"/>
      <c r="X51" s="277"/>
      <c r="Y51" s="277"/>
      <c r="Z51" s="278"/>
      <c r="AA51" s="277"/>
      <c r="AB51" s="277"/>
      <c r="AC51" s="277"/>
      <c r="AD51" s="278"/>
      <c r="AE51" s="277"/>
      <c r="AF51" s="277"/>
      <c r="AG51" s="277"/>
      <c r="AH51" s="278"/>
    </row>
    <row r="52" spans="1:34" ht="10.5">
      <c r="A52" s="244"/>
      <c r="B52" s="284"/>
      <c r="C52" s="284"/>
      <c r="D52" s="284"/>
      <c r="E52" s="284"/>
      <c r="F52" s="284"/>
      <c r="G52" s="284"/>
      <c r="H52" s="284"/>
      <c r="I52" s="284"/>
      <c r="K52" s="284"/>
      <c r="L52" s="284"/>
      <c r="M52" s="284"/>
      <c r="N52" s="285"/>
      <c r="O52" s="284"/>
      <c r="P52" s="284"/>
      <c r="Q52" s="284"/>
      <c r="R52" s="285"/>
      <c r="S52" s="284"/>
      <c r="T52" s="284"/>
      <c r="U52" s="284"/>
      <c r="V52" s="285"/>
      <c r="W52" s="284"/>
      <c r="X52" s="284"/>
      <c r="Y52" s="284"/>
      <c r="Z52" s="285"/>
      <c r="AA52" s="284"/>
      <c r="AB52" s="284"/>
      <c r="AC52" s="284"/>
      <c r="AD52" s="285"/>
      <c r="AE52" s="284"/>
      <c r="AF52" s="284"/>
      <c r="AG52" s="284"/>
      <c r="AH52" s="285"/>
    </row>
    <row r="53" spans="1:34" ht="10.5">
      <c r="A53" s="244" t="s">
        <v>263</v>
      </c>
      <c r="B53" s="245">
        <v>2015</v>
      </c>
      <c r="C53" s="245">
        <v>2016</v>
      </c>
      <c r="D53" s="245">
        <v>2017</v>
      </c>
      <c r="E53" s="245">
        <v>2018</v>
      </c>
      <c r="F53" s="245">
        <v>2019</v>
      </c>
      <c r="G53" s="245">
        <v>2020</v>
      </c>
      <c r="H53" s="245">
        <v>2021</v>
      </c>
      <c r="I53" s="245">
        <f t="shared" ref="I53" si="6">SUM(AB53:AE53)</f>
        <v>2022</v>
      </c>
      <c r="K53" s="245">
        <v>2017</v>
      </c>
      <c r="L53" s="245"/>
      <c r="M53" s="245"/>
      <c r="N53" s="246"/>
      <c r="O53" s="245">
        <v>2018</v>
      </c>
      <c r="P53" s="245"/>
      <c r="Q53" s="245"/>
      <c r="R53" s="246"/>
      <c r="S53" s="245">
        <v>2019</v>
      </c>
      <c r="T53" s="245"/>
      <c r="U53" s="245"/>
      <c r="V53" s="246"/>
      <c r="W53" s="245">
        <v>2020</v>
      </c>
      <c r="X53" s="245"/>
      <c r="Y53" s="245"/>
      <c r="Z53" s="246"/>
      <c r="AA53" s="245">
        <v>2021</v>
      </c>
      <c r="AB53" s="245"/>
      <c r="AC53" s="245"/>
      <c r="AD53" s="246" t="s">
        <v>257</v>
      </c>
      <c r="AE53" s="245">
        <v>2022</v>
      </c>
      <c r="AF53" s="245" t="s">
        <v>257</v>
      </c>
      <c r="AG53" s="245" t="s">
        <v>257</v>
      </c>
      <c r="AH53" s="246" t="s">
        <v>257</v>
      </c>
    </row>
    <row r="54" spans="1:34" ht="10.5">
      <c r="A54" s="247" t="s">
        <v>207</v>
      </c>
      <c r="B54" s="248" t="s">
        <v>59</v>
      </c>
      <c r="C54" s="248" t="s">
        <v>59</v>
      </c>
      <c r="D54" s="248" t="s">
        <v>59</v>
      </c>
      <c r="E54" s="248" t="s">
        <v>59</v>
      </c>
      <c r="F54" s="248" t="s">
        <v>59</v>
      </c>
      <c r="G54" s="248" t="s">
        <v>59</v>
      </c>
      <c r="H54" s="248" t="s">
        <v>59</v>
      </c>
      <c r="I54" s="248" t="s">
        <v>59</v>
      </c>
      <c r="K54" s="248" t="s">
        <v>14</v>
      </c>
      <c r="L54" s="248" t="s">
        <v>15</v>
      </c>
      <c r="M54" s="248" t="s">
        <v>16</v>
      </c>
      <c r="N54" s="249" t="s">
        <v>17</v>
      </c>
      <c r="O54" s="248" t="s">
        <v>14</v>
      </c>
      <c r="P54" s="248" t="s">
        <v>15</v>
      </c>
      <c r="Q54" s="248" t="s">
        <v>16</v>
      </c>
      <c r="R54" s="249" t="s">
        <v>17</v>
      </c>
      <c r="S54" s="248" t="s">
        <v>14</v>
      </c>
      <c r="T54" s="248" t="s">
        <v>15</v>
      </c>
      <c r="U54" s="248" t="s">
        <v>16</v>
      </c>
      <c r="V54" s="249" t="s">
        <v>17</v>
      </c>
      <c r="W54" s="248" t="s">
        <v>14</v>
      </c>
      <c r="X54" s="248" t="s">
        <v>15</v>
      </c>
      <c r="Y54" s="248" t="s">
        <v>16</v>
      </c>
      <c r="Z54" s="249" t="s">
        <v>17</v>
      </c>
      <c r="AA54" s="248" t="s">
        <v>14</v>
      </c>
      <c r="AB54" s="248" t="s">
        <v>15</v>
      </c>
      <c r="AC54" s="248" t="str">
        <f>+AC$6</f>
        <v>Q3</v>
      </c>
      <c r="AD54" s="249" t="s">
        <v>17</v>
      </c>
      <c r="AE54" s="248" t="s">
        <v>14</v>
      </c>
      <c r="AF54" s="248" t="s">
        <v>15</v>
      </c>
      <c r="AG54" s="248" t="s">
        <v>16</v>
      </c>
      <c r="AH54" s="249" t="s">
        <v>17</v>
      </c>
    </row>
    <row r="55" spans="1:34">
      <c r="A55" s="250" t="s">
        <v>223</v>
      </c>
      <c r="B55" s="265">
        <v>4370</v>
      </c>
      <c r="C55" s="265">
        <v>3802</v>
      </c>
      <c r="D55" s="265">
        <v>5107</v>
      </c>
      <c r="E55" s="265">
        <v>6713</v>
      </c>
      <c r="F55" s="265">
        <v>7464</v>
      </c>
      <c r="G55" s="265">
        <v>6723</v>
      </c>
      <c r="H55" s="265">
        <v>7641</v>
      </c>
      <c r="I55" s="265">
        <v>9837</v>
      </c>
      <c r="J55" s="350"/>
      <c r="K55" s="265">
        <v>1166</v>
      </c>
      <c r="L55" s="265">
        <v>1242</v>
      </c>
      <c r="M55" s="265">
        <v>1261</v>
      </c>
      <c r="N55" s="266">
        <v>1438</v>
      </c>
      <c r="O55" s="265">
        <v>1351</v>
      </c>
      <c r="P55" s="265">
        <v>1741</v>
      </c>
      <c r="Q55" s="265">
        <v>1755</v>
      </c>
      <c r="R55" s="266">
        <v>1866</v>
      </c>
      <c r="S55" s="265">
        <v>1707</v>
      </c>
      <c r="T55" s="265">
        <v>1961</v>
      </c>
      <c r="U55" s="265">
        <v>1923</v>
      </c>
      <c r="V55" s="266">
        <v>1873</v>
      </c>
      <c r="W55" s="265">
        <v>1620</v>
      </c>
      <c r="X55" s="265">
        <v>1458</v>
      </c>
      <c r="Y55" s="265">
        <v>1679</v>
      </c>
      <c r="Z55" s="266">
        <v>1966</v>
      </c>
      <c r="AA55" s="265">
        <v>1696</v>
      </c>
      <c r="AB55" s="265">
        <v>1880</v>
      </c>
      <c r="AC55" s="265">
        <v>1909</v>
      </c>
      <c r="AD55" s="266">
        <v>2156</v>
      </c>
      <c r="AE55" s="265">
        <v>2142</v>
      </c>
      <c r="AF55" s="265">
        <v>2313</v>
      </c>
      <c r="AG55" s="265">
        <v>2555</v>
      </c>
      <c r="AH55" s="266">
        <v>2827</v>
      </c>
    </row>
    <row r="56" spans="1:34">
      <c r="A56" s="250" t="s">
        <v>71</v>
      </c>
      <c r="B56" s="265">
        <v>957</v>
      </c>
      <c r="C56" s="265">
        <v>937</v>
      </c>
      <c r="D56" s="265">
        <v>1146.0051558893001</v>
      </c>
      <c r="E56" s="265">
        <v>1239</v>
      </c>
      <c r="F56" s="265">
        <v>1448</v>
      </c>
      <c r="G56" s="265">
        <v>1201</v>
      </c>
      <c r="H56" s="265">
        <v>1784</v>
      </c>
      <c r="I56" s="265">
        <v>2199</v>
      </c>
      <c r="J56" s="350"/>
      <c r="K56" s="265">
        <v>321</v>
      </c>
      <c r="L56" s="265">
        <v>328</v>
      </c>
      <c r="M56" s="265">
        <v>279</v>
      </c>
      <c r="N56" s="266">
        <v>218.0051558893</v>
      </c>
      <c r="O56" s="265">
        <v>287</v>
      </c>
      <c r="P56" s="265">
        <v>304</v>
      </c>
      <c r="Q56" s="265">
        <v>324</v>
      </c>
      <c r="R56" s="266">
        <v>324</v>
      </c>
      <c r="S56" s="265">
        <v>371</v>
      </c>
      <c r="T56" s="265">
        <v>429</v>
      </c>
      <c r="U56" s="265">
        <v>336</v>
      </c>
      <c r="V56" s="266">
        <v>312</v>
      </c>
      <c r="W56" s="265">
        <v>347</v>
      </c>
      <c r="X56" s="265">
        <v>200</v>
      </c>
      <c r="Y56" s="265">
        <v>276</v>
      </c>
      <c r="Z56" s="266">
        <v>378</v>
      </c>
      <c r="AA56" s="265">
        <v>386</v>
      </c>
      <c r="AB56" s="265">
        <v>416</v>
      </c>
      <c r="AC56" s="265">
        <v>502</v>
      </c>
      <c r="AD56" s="266">
        <v>480</v>
      </c>
      <c r="AE56" s="265">
        <v>520</v>
      </c>
      <c r="AF56" s="265">
        <v>573</v>
      </c>
      <c r="AG56" s="265">
        <v>583</v>
      </c>
      <c r="AH56" s="266">
        <v>523</v>
      </c>
    </row>
    <row r="57" spans="1:34" ht="10.5">
      <c r="A57" s="258" t="s">
        <v>35</v>
      </c>
      <c r="B57" s="259">
        <v>5175</v>
      </c>
      <c r="C57" s="259">
        <v>4548</v>
      </c>
      <c r="D57" s="259">
        <v>6093.0051558893001</v>
      </c>
      <c r="E57" s="259">
        <v>7779</v>
      </c>
      <c r="F57" s="259">
        <v>8582</v>
      </c>
      <c r="G57" s="259">
        <v>7669</v>
      </c>
      <c r="H57" s="259">
        <v>9098</v>
      </c>
      <c r="I57" s="259">
        <v>11755</v>
      </c>
      <c r="J57" s="350"/>
      <c r="K57" s="259">
        <v>1459</v>
      </c>
      <c r="L57" s="259">
        <v>1521</v>
      </c>
      <c r="M57" s="259">
        <v>1535</v>
      </c>
      <c r="N57" s="260">
        <v>1578.0051558893001</v>
      </c>
      <c r="O57" s="259">
        <v>1610</v>
      </c>
      <c r="P57" s="259">
        <v>1991</v>
      </c>
      <c r="Q57" s="259">
        <v>2024</v>
      </c>
      <c r="R57" s="260">
        <v>2154</v>
      </c>
      <c r="S57" s="259">
        <v>1989</v>
      </c>
      <c r="T57" s="259">
        <v>2302</v>
      </c>
      <c r="U57" s="259">
        <v>2160</v>
      </c>
      <c r="V57" s="260">
        <v>2131</v>
      </c>
      <c r="W57" s="259">
        <v>1911</v>
      </c>
      <c r="X57" s="259">
        <v>1582.6</v>
      </c>
      <c r="Y57" s="259">
        <v>1895.8</v>
      </c>
      <c r="Z57" s="260">
        <v>2279</v>
      </c>
      <c r="AA57" s="259">
        <v>2016</v>
      </c>
      <c r="AB57" s="259">
        <v>2197</v>
      </c>
      <c r="AC57" s="259">
        <v>2331</v>
      </c>
      <c r="AD57" s="260">
        <v>2554</v>
      </c>
      <c r="AE57" s="259">
        <v>2588</v>
      </c>
      <c r="AF57" s="259">
        <v>2801</v>
      </c>
      <c r="AG57" s="259">
        <v>3064</v>
      </c>
      <c r="AH57" s="260">
        <v>3302</v>
      </c>
    </row>
    <row r="58" spans="1:34" ht="10.5">
      <c r="A58" s="244"/>
      <c r="B58" s="277"/>
      <c r="C58" s="277"/>
      <c r="D58" s="277"/>
      <c r="E58" s="277"/>
      <c r="F58" s="277"/>
      <c r="G58" s="277"/>
      <c r="H58" s="277"/>
      <c r="I58" s="277"/>
      <c r="K58" s="277"/>
      <c r="L58" s="277"/>
      <c r="M58" s="277"/>
      <c r="N58" s="278"/>
      <c r="O58" s="277"/>
      <c r="P58" s="277"/>
      <c r="Q58" s="277"/>
      <c r="R58" s="278"/>
      <c r="S58" s="277"/>
      <c r="T58" s="277"/>
      <c r="U58" s="277"/>
      <c r="V58" s="278"/>
      <c r="W58" s="277"/>
      <c r="X58" s="277"/>
      <c r="Y58" s="277"/>
      <c r="Z58" s="278"/>
      <c r="AA58" s="439"/>
      <c r="AB58" s="439"/>
      <c r="AC58" s="439"/>
      <c r="AD58" s="278"/>
      <c r="AE58" s="439"/>
      <c r="AF58" s="277"/>
      <c r="AG58" s="277"/>
      <c r="AH58" s="278"/>
    </row>
    <row r="59" spans="1:34" ht="10.5">
      <c r="A59" s="244"/>
      <c r="B59" s="277"/>
      <c r="C59" s="277"/>
      <c r="D59" s="277"/>
      <c r="E59" s="277"/>
      <c r="F59" s="277"/>
      <c r="G59" s="277"/>
      <c r="H59" s="277"/>
      <c r="I59" s="277"/>
      <c r="K59" s="277"/>
      <c r="L59" s="277"/>
      <c r="M59" s="277"/>
      <c r="N59" s="278"/>
      <c r="O59" s="277"/>
      <c r="P59" s="277"/>
      <c r="Q59" s="277"/>
      <c r="R59" s="278"/>
      <c r="S59" s="277"/>
      <c r="T59" s="277"/>
      <c r="U59" s="277"/>
      <c r="V59" s="278"/>
      <c r="W59" s="277"/>
      <c r="X59" s="277"/>
      <c r="Y59" s="277"/>
      <c r="Z59" s="278"/>
      <c r="AA59" s="277"/>
      <c r="AB59" s="277"/>
      <c r="AC59" s="277"/>
      <c r="AD59" s="278"/>
      <c r="AE59" s="277"/>
      <c r="AF59" s="277"/>
      <c r="AG59" s="277"/>
      <c r="AH59" s="278"/>
    </row>
    <row r="60" spans="1:34" ht="10.5">
      <c r="A60" s="244" t="s">
        <v>204</v>
      </c>
      <c r="B60" s="245">
        <v>2015</v>
      </c>
      <c r="C60" s="245">
        <v>2016</v>
      </c>
      <c r="D60" s="245">
        <v>2017</v>
      </c>
      <c r="E60" s="245">
        <v>2018</v>
      </c>
      <c r="F60" s="245">
        <v>2019</v>
      </c>
      <c r="G60" s="245">
        <v>2020</v>
      </c>
      <c r="H60" s="245">
        <v>2021</v>
      </c>
      <c r="I60" s="245">
        <f t="shared" ref="I60" si="7">SUM(AB60:AE60)</f>
        <v>2022</v>
      </c>
      <c r="K60" s="245">
        <v>2017</v>
      </c>
      <c r="L60" s="245"/>
      <c r="M60" s="245"/>
      <c r="N60" s="246"/>
      <c r="O60" s="245">
        <v>2018</v>
      </c>
      <c r="P60" s="245"/>
      <c r="Q60" s="245"/>
      <c r="R60" s="246"/>
      <c r="S60" s="245">
        <v>2019</v>
      </c>
      <c r="T60" s="245"/>
      <c r="U60" s="245"/>
      <c r="V60" s="246"/>
      <c r="W60" s="245">
        <v>2020</v>
      </c>
      <c r="X60" s="245"/>
      <c r="Y60" s="245"/>
      <c r="Z60" s="246"/>
      <c r="AA60" s="245">
        <v>2021</v>
      </c>
      <c r="AB60" s="245"/>
      <c r="AC60" s="245"/>
      <c r="AD60" s="246" t="s">
        <v>257</v>
      </c>
      <c r="AE60" s="245">
        <v>2022</v>
      </c>
      <c r="AF60" s="245" t="s">
        <v>257</v>
      </c>
      <c r="AG60" s="245"/>
      <c r="AH60" s="246" t="s">
        <v>257</v>
      </c>
    </row>
    <row r="61" spans="1:34" ht="10.5">
      <c r="A61" s="247" t="s">
        <v>207</v>
      </c>
      <c r="B61" s="248" t="s">
        <v>59</v>
      </c>
      <c r="C61" s="248" t="s">
        <v>59</v>
      </c>
      <c r="D61" s="248" t="s">
        <v>59</v>
      </c>
      <c r="E61" s="248" t="s">
        <v>59</v>
      </c>
      <c r="F61" s="248" t="s">
        <v>59</v>
      </c>
      <c r="G61" s="248" t="s">
        <v>59</v>
      </c>
      <c r="H61" s="248" t="s">
        <v>400</v>
      </c>
      <c r="I61" s="248" t="s">
        <v>59</v>
      </c>
      <c r="K61" s="248" t="s">
        <v>14</v>
      </c>
      <c r="L61" s="248" t="s">
        <v>15</v>
      </c>
      <c r="M61" s="248" t="s">
        <v>16</v>
      </c>
      <c r="N61" s="249" t="s">
        <v>17</v>
      </c>
      <c r="O61" s="248" t="s">
        <v>14</v>
      </c>
      <c r="P61" s="248" t="s">
        <v>15</v>
      </c>
      <c r="Q61" s="248" t="s">
        <v>16</v>
      </c>
      <c r="R61" s="249" t="s">
        <v>17</v>
      </c>
      <c r="S61" s="248" t="s">
        <v>14</v>
      </c>
      <c r="T61" s="248" t="s">
        <v>15</v>
      </c>
      <c r="U61" s="248" t="s">
        <v>16</v>
      </c>
      <c r="V61" s="249" t="s">
        <v>17</v>
      </c>
      <c r="W61" s="248" t="s">
        <v>14</v>
      </c>
      <c r="X61" s="248" t="s">
        <v>15</v>
      </c>
      <c r="Y61" s="248" t="s">
        <v>16</v>
      </c>
      <c r="Z61" s="249" t="s">
        <v>17</v>
      </c>
      <c r="AA61" s="248" t="s">
        <v>14</v>
      </c>
      <c r="AB61" s="248" t="s">
        <v>15</v>
      </c>
      <c r="AC61" s="248" t="str">
        <f>+AC$6</f>
        <v>Q3</v>
      </c>
      <c r="AD61" s="249" t="s">
        <v>17</v>
      </c>
      <c r="AE61" s="248" t="s">
        <v>14</v>
      </c>
      <c r="AF61" s="248" t="s">
        <v>15</v>
      </c>
      <c r="AG61" s="248" t="s">
        <v>16</v>
      </c>
      <c r="AH61" s="249" t="s">
        <v>17</v>
      </c>
    </row>
    <row r="62" spans="1:34">
      <c r="A62" s="282" t="s">
        <v>225</v>
      </c>
      <c r="B62" s="271">
        <v>0.21509081065117883</v>
      </c>
      <c r="C62" s="271">
        <v>0.20118531061487988</v>
      </c>
      <c r="D62" s="286">
        <v>0.22816423178304965</v>
      </c>
      <c r="E62" s="271">
        <v>0.23524877365101612</v>
      </c>
      <c r="F62" s="270">
        <v>0.25</v>
      </c>
      <c r="G62" s="270">
        <v>0.25</v>
      </c>
      <c r="H62" s="270">
        <f>H55/H17</f>
        <v>0.26060709413369715</v>
      </c>
      <c r="I62" s="270">
        <v>0.26100000000000001</v>
      </c>
      <c r="K62" s="270">
        <v>0.223</v>
      </c>
      <c r="L62" s="270">
        <v>0.22600000000000001</v>
      </c>
      <c r="M62" s="270">
        <v>0.23300000000000001</v>
      </c>
      <c r="N62" s="272">
        <v>0.23</v>
      </c>
      <c r="O62" s="270">
        <v>0.22700000000000001</v>
      </c>
      <c r="P62" s="270">
        <v>0.23799999999999999</v>
      </c>
      <c r="Q62" s="270">
        <v>0.245</v>
      </c>
      <c r="R62" s="272">
        <v>0.23100000000000001</v>
      </c>
      <c r="S62" s="270">
        <v>0.24</v>
      </c>
      <c r="T62" s="270">
        <v>0.255</v>
      </c>
      <c r="U62" s="270">
        <v>0.26200000000000001</v>
      </c>
      <c r="V62" s="272">
        <v>0.24199999999999999</v>
      </c>
      <c r="W62" s="270">
        <v>0.246</v>
      </c>
      <c r="X62" s="270">
        <v>0.22709436312675199</v>
      </c>
      <c r="Y62" s="270">
        <v>0.259465306753207</v>
      </c>
      <c r="Z62" s="272">
        <v>0.26400000000000001</v>
      </c>
      <c r="AA62" s="270">
        <v>0.26500000000000001</v>
      </c>
      <c r="AB62" s="270">
        <v>0.26200000000000001</v>
      </c>
      <c r="AC62" s="270">
        <v>0.26400000000000001</v>
      </c>
      <c r="AD62" s="272">
        <v>0.254</v>
      </c>
      <c r="AE62" s="270">
        <v>0.26100000000000001</v>
      </c>
      <c r="AF62" s="270">
        <v>0.26600000000000001</v>
      </c>
      <c r="AG62" s="270">
        <v>0.26200000000000001</v>
      </c>
      <c r="AH62" s="272">
        <v>0.25700000000000001</v>
      </c>
    </row>
    <row r="63" spans="1:34">
      <c r="A63" s="42" t="s">
        <v>206</v>
      </c>
      <c r="B63" s="270">
        <v>0.11832344213649852</v>
      </c>
      <c r="C63" s="270">
        <v>0.11823343848580442</v>
      </c>
      <c r="D63" s="286">
        <v>0.13114847827369075</v>
      </c>
      <c r="E63" s="270">
        <v>0.13011790000000001</v>
      </c>
      <c r="F63" s="270">
        <v>0.13400000000000001</v>
      </c>
      <c r="G63" s="270">
        <v>0.13284879315943299</v>
      </c>
      <c r="H63" s="270">
        <f>H56/H20</f>
        <v>0.17481626653601176</v>
      </c>
      <c r="I63" s="270">
        <v>0.183</v>
      </c>
      <c r="K63" s="270">
        <v>0.14799999999999999</v>
      </c>
      <c r="L63" s="270">
        <v>0.14299999999999999</v>
      </c>
      <c r="M63" s="270">
        <v>0.13</v>
      </c>
      <c r="N63" s="272">
        <v>0.10199999999999999</v>
      </c>
      <c r="O63" s="270">
        <v>0.12767809999999999</v>
      </c>
      <c r="P63" s="270">
        <v>0.124</v>
      </c>
      <c r="Q63" s="270">
        <v>0.13600000000000001</v>
      </c>
      <c r="R63" s="272">
        <v>0.13300000000000001</v>
      </c>
      <c r="S63" s="270">
        <v>0.14237610000000001</v>
      </c>
      <c r="T63" s="270">
        <v>0.14599999999999999</v>
      </c>
      <c r="U63" s="270">
        <v>0.122</v>
      </c>
      <c r="V63" s="272">
        <v>0.125</v>
      </c>
      <c r="W63" s="270">
        <v>0.13900000000000001</v>
      </c>
      <c r="X63" s="270">
        <v>9.7985257985258006E-2</v>
      </c>
      <c r="Y63" s="270">
        <v>0.12568306010929001</v>
      </c>
      <c r="Z63" s="272">
        <v>0.16500000000000001</v>
      </c>
      <c r="AA63" s="270">
        <v>0.16500000000000001</v>
      </c>
      <c r="AB63" s="270">
        <v>0.16500000000000001</v>
      </c>
      <c r="AC63" s="270">
        <v>0.186</v>
      </c>
      <c r="AD63" s="272">
        <v>0.182</v>
      </c>
      <c r="AE63" s="270">
        <v>0.18099999999999999</v>
      </c>
      <c r="AF63" s="270">
        <v>0.182</v>
      </c>
      <c r="AG63" s="270">
        <v>0.192</v>
      </c>
      <c r="AH63" s="272">
        <v>0.17499999999999999</v>
      </c>
    </row>
    <row r="64" spans="1:34">
      <c r="A64" s="247" t="s">
        <v>205</v>
      </c>
      <c r="B64" s="287">
        <v>0.18054634895161009</v>
      </c>
      <c r="C64" s="287">
        <v>0.16781049369050255</v>
      </c>
      <c r="D64" s="288">
        <v>0.19426594412314713</v>
      </c>
      <c r="E64" s="287">
        <v>0.20318662661616821</v>
      </c>
      <c r="F64" s="287">
        <v>0.21009082229675144</v>
      </c>
      <c r="G64" s="287">
        <v>0.21230828857759815</v>
      </c>
      <c r="H64" s="287">
        <v>0.22900000000000001</v>
      </c>
      <c r="I64" s="287">
        <v>0.23699999999999999</v>
      </c>
      <c r="K64" s="287">
        <v>0.19686294329831355</v>
      </c>
      <c r="L64" s="287">
        <v>0.19304480263992893</v>
      </c>
      <c r="M64" s="287">
        <v>0.20170827858081472</v>
      </c>
      <c r="N64" s="289">
        <v>0.18643728212302696</v>
      </c>
      <c r="O64" s="287">
        <v>0.19600000000000001</v>
      </c>
      <c r="P64" s="287">
        <v>0.20200000000000001</v>
      </c>
      <c r="Q64" s="287">
        <v>0.21</v>
      </c>
      <c r="R64" s="289">
        <v>0.20399999999999999</v>
      </c>
      <c r="S64" s="287">
        <v>0.20327031170158405</v>
      </c>
      <c r="T64" s="287">
        <v>0.21663843402973837</v>
      </c>
      <c r="U64" s="287">
        <v>0.21264028352037803</v>
      </c>
      <c r="V64" s="289">
        <v>0.20729571984435799</v>
      </c>
      <c r="W64" s="287">
        <v>0.20899999999999999</v>
      </c>
      <c r="X64" s="287">
        <v>0.18711279262236899</v>
      </c>
      <c r="Y64" s="287">
        <v>0.21730857404860199</v>
      </c>
      <c r="Z64" s="289">
        <v>0.23200000000000001</v>
      </c>
      <c r="AA64" s="287">
        <v>0.23</v>
      </c>
      <c r="AB64" s="287">
        <v>0.22600000000000001</v>
      </c>
      <c r="AC64" s="287">
        <v>0.23400000000000001</v>
      </c>
      <c r="AD64" s="289">
        <v>0.22900000000000001</v>
      </c>
      <c r="AE64" s="287">
        <v>0.23300000000000001</v>
      </c>
      <c r="AF64" s="287">
        <v>0.23599999999999999</v>
      </c>
      <c r="AG64" s="287">
        <v>0.23899999999999999</v>
      </c>
      <c r="AH64" s="289">
        <v>0.23699999999999999</v>
      </c>
    </row>
    <row r="65" spans="1:34">
      <c r="A65" s="250"/>
      <c r="B65" s="279"/>
      <c r="C65" s="279"/>
      <c r="D65" s="279"/>
      <c r="E65" s="279"/>
      <c r="F65" s="279"/>
      <c r="G65" s="279"/>
      <c r="H65" s="279"/>
      <c r="I65" s="279"/>
      <c r="K65" s="279"/>
      <c r="L65" s="279"/>
      <c r="M65" s="279"/>
      <c r="N65" s="280"/>
      <c r="O65" s="279"/>
      <c r="P65" s="279"/>
      <c r="Q65" s="279"/>
      <c r="R65" s="280"/>
      <c r="S65" s="279"/>
      <c r="T65" s="279"/>
      <c r="U65" s="279"/>
      <c r="V65" s="280"/>
      <c r="W65" s="279"/>
      <c r="X65" s="279"/>
      <c r="Y65" s="279"/>
      <c r="Z65" s="280"/>
      <c r="AA65" s="279"/>
      <c r="AB65" s="279"/>
      <c r="AC65" s="279"/>
      <c r="AD65" s="280"/>
      <c r="AE65" s="279"/>
      <c r="AF65" s="279"/>
      <c r="AG65" s="279"/>
      <c r="AH65" s="280"/>
    </row>
    <row r="66" spans="1:34" ht="10.5">
      <c r="A66" s="244"/>
      <c r="B66" s="284"/>
      <c r="C66" s="284"/>
      <c r="D66" s="284"/>
      <c r="E66" s="284"/>
      <c r="F66" s="284"/>
      <c r="G66" s="284"/>
      <c r="H66" s="284"/>
      <c r="I66" s="284"/>
      <c r="K66" s="284"/>
      <c r="L66" s="284"/>
      <c r="M66" s="284"/>
      <c r="N66" s="285"/>
      <c r="O66" s="284"/>
      <c r="P66" s="284"/>
      <c r="Q66" s="284"/>
      <c r="R66" s="285"/>
      <c r="S66" s="284"/>
      <c r="T66" s="284"/>
      <c r="U66" s="284"/>
      <c r="V66" s="285"/>
      <c r="W66" s="284"/>
      <c r="X66" s="284"/>
      <c r="Y66" s="284"/>
      <c r="Z66" s="285"/>
      <c r="AA66" s="284"/>
      <c r="AB66" s="284"/>
      <c r="AC66" s="284"/>
      <c r="AD66" s="285"/>
      <c r="AE66" s="284"/>
      <c r="AF66" s="284"/>
      <c r="AG66" s="284"/>
      <c r="AH66" s="285"/>
    </row>
    <row r="67" spans="1:34" ht="10.5">
      <c r="A67" s="244" t="s">
        <v>179</v>
      </c>
      <c r="B67" s="245">
        <v>2015</v>
      </c>
      <c r="C67" s="245">
        <v>2016</v>
      </c>
      <c r="D67" s="245">
        <v>2017</v>
      </c>
      <c r="E67" s="245">
        <v>2018</v>
      </c>
      <c r="F67" s="245">
        <v>2019</v>
      </c>
      <c r="G67" s="245">
        <v>2020</v>
      </c>
      <c r="H67" s="245">
        <v>2021</v>
      </c>
      <c r="I67" s="245">
        <f t="shared" ref="I67" si="8">SUM(AB67:AE67)</f>
        <v>2022</v>
      </c>
      <c r="K67" s="245">
        <v>2017</v>
      </c>
      <c r="L67" s="245"/>
      <c r="M67" s="245"/>
      <c r="N67" s="246"/>
      <c r="O67" s="245">
        <v>2018</v>
      </c>
      <c r="P67" s="245"/>
      <c r="Q67" s="245"/>
      <c r="R67" s="246"/>
      <c r="S67" s="245">
        <v>2019</v>
      </c>
      <c r="T67" s="245"/>
      <c r="U67" s="245"/>
      <c r="V67" s="246"/>
      <c r="W67" s="245">
        <v>2020</v>
      </c>
      <c r="X67" s="245"/>
      <c r="Y67" s="245"/>
      <c r="Z67" s="246"/>
      <c r="AA67" s="245">
        <v>2021</v>
      </c>
      <c r="AB67" s="245"/>
      <c r="AC67" s="245"/>
      <c r="AD67" s="246" t="s">
        <v>257</v>
      </c>
      <c r="AE67" s="245">
        <v>2022</v>
      </c>
      <c r="AF67" s="245" t="s">
        <v>257</v>
      </c>
      <c r="AG67" s="245" t="s">
        <v>257</v>
      </c>
      <c r="AH67" s="246" t="s">
        <v>257</v>
      </c>
    </row>
    <row r="68" spans="1:34" ht="10.5">
      <c r="A68" s="247" t="s">
        <v>207</v>
      </c>
      <c r="B68" s="248" t="s">
        <v>59</v>
      </c>
      <c r="C68" s="248" t="s">
        <v>59</v>
      </c>
      <c r="D68" s="248" t="s">
        <v>59</v>
      </c>
      <c r="E68" s="248" t="s">
        <v>59</v>
      </c>
      <c r="F68" s="248" t="s">
        <v>59</v>
      </c>
      <c r="G68" s="248" t="s">
        <v>59</v>
      </c>
      <c r="H68" s="248" t="s">
        <v>400</v>
      </c>
      <c r="I68" s="248" t="s">
        <v>59</v>
      </c>
      <c r="K68" s="248" t="s">
        <v>14</v>
      </c>
      <c r="L68" s="248" t="s">
        <v>15</v>
      </c>
      <c r="M68" s="248" t="s">
        <v>16</v>
      </c>
      <c r="N68" s="249" t="s">
        <v>17</v>
      </c>
      <c r="O68" s="248" t="s">
        <v>14</v>
      </c>
      <c r="P68" s="248" t="s">
        <v>15</v>
      </c>
      <c r="Q68" s="248" t="s">
        <v>16</v>
      </c>
      <c r="R68" s="249" t="s">
        <v>17</v>
      </c>
      <c r="S68" s="248" t="s">
        <v>14</v>
      </c>
      <c r="T68" s="248" t="s">
        <v>15</v>
      </c>
      <c r="U68" s="248" t="s">
        <v>16</v>
      </c>
      <c r="V68" s="249" t="s">
        <v>17</v>
      </c>
      <c r="W68" s="248" t="s">
        <v>14</v>
      </c>
      <c r="X68" s="248" t="s">
        <v>15</v>
      </c>
      <c r="Y68" s="248" t="s">
        <v>16</v>
      </c>
      <c r="Z68" s="249" t="s">
        <v>17</v>
      </c>
      <c r="AA68" s="248" t="s">
        <v>14</v>
      </c>
      <c r="AB68" s="248" t="s">
        <v>15</v>
      </c>
      <c r="AC68" s="248" t="str">
        <f>+AC$6</f>
        <v>Q3</v>
      </c>
      <c r="AD68" s="249" t="s">
        <v>17</v>
      </c>
      <c r="AE68" s="248" t="s">
        <v>14</v>
      </c>
      <c r="AF68" s="248" t="s">
        <v>15</v>
      </c>
      <c r="AG68" s="248" t="s">
        <v>16</v>
      </c>
      <c r="AH68" s="249" t="s">
        <v>17</v>
      </c>
    </row>
    <row r="69" spans="1:34" s="57" customFormat="1" ht="20">
      <c r="A69" s="282" t="s">
        <v>111</v>
      </c>
      <c r="B69" s="290" t="s">
        <v>113</v>
      </c>
      <c r="C69" s="290" t="s">
        <v>113</v>
      </c>
      <c r="D69" s="291">
        <v>-163</v>
      </c>
      <c r="E69" s="291">
        <v>-66</v>
      </c>
      <c r="F69" s="291">
        <v>-194</v>
      </c>
      <c r="G69" s="291">
        <v>-99</v>
      </c>
      <c r="H69" s="291">
        <v>-270</v>
      </c>
      <c r="I69" s="291">
        <v>37</v>
      </c>
      <c r="K69" s="291">
        <v>-45</v>
      </c>
      <c r="L69" s="291">
        <v>-53</v>
      </c>
      <c r="M69" s="291">
        <v>-15</v>
      </c>
      <c r="N69" s="292">
        <v>-50</v>
      </c>
      <c r="O69" s="291">
        <v>0</v>
      </c>
      <c r="P69" s="291">
        <v>-77</v>
      </c>
      <c r="Q69" s="291">
        <v>-56</v>
      </c>
      <c r="R69" s="292">
        <v>67</v>
      </c>
      <c r="S69" s="291">
        <v>-59</v>
      </c>
      <c r="T69" s="291">
        <v>-39</v>
      </c>
      <c r="U69" s="291">
        <v>-54</v>
      </c>
      <c r="V69" s="292">
        <v>-42</v>
      </c>
      <c r="W69" s="291">
        <f>W45</f>
        <v>65</v>
      </c>
      <c r="X69" s="291">
        <v>-91</v>
      </c>
      <c r="Y69" s="379">
        <v>-21</v>
      </c>
      <c r="Z69" s="292">
        <v>-52</v>
      </c>
      <c r="AA69" s="291">
        <v>-149</v>
      </c>
      <c r="AB69" s="291">
        <v>-15</v>
      </c>
      <c r="AC69" s="291">
        <v>21</v>
      </c>
      <c r="AD69" s="292">
        <v>-127</v>
      </c>
      <c r="AE69" s="291">
        <v>43</v>
      </c>
      <c r="AF69" s="291">
        <v>75</v>
      </c>
      <c r="AG69" s="291">
        <v>-14</v>
      </c>
      <c r="AH69" s="292">
        <v>-67</v>
      </c>
    </row>
    <row r="70" spans="1:34">
      <c r="A70" s="250" t="s">
        <v>121</v>
      </c>
      <c r="B70" s="279" t="s">
        <v>113</v>
      </c>
      <c r="C70" s="279" t="s">
        <v>113</v>
      </c>
      <c r="D70" s="279" t="s">
        <v>113</v>
      </c>
      <c r="E70" s="279">
        <v>-328</v>
      </c>
      <c r="F70" s="293">
        <v>-62</v>
      </c>
      <c r="G70" s="293">
        <v>-18</v>
      </c>
      <c r="H70" s="279" t="s">
        <v>113</v>
      </c>
      <c r="I70" s="279" t="s">
        <v>113</v>
      </c>
      <c r="K70" s="279" t="s">
        <v>113</v>
      </c>
      <c r="L70" s="279" t="s">
        <v>113</v>
      </c>
      <c r="M70" s="279" t="s">
        <v>113</v>
      </c>
      <c r="N70" s="280" t="s">
        <v>113</v>
      </c>
      <c r="O70" s="279">
        <v>-95</v>
      </c>
      <c r="P70" s="279">
        <v>-104</v>
      </c>
      <c r="Q70" s="279">
        <v>-70</v>
      </c>
      <c r="R70" s="280">
        <v>-59</v>
      </c>
      <c r="S70" s="279">
        <v>-17</v>
      </c>
      <c r="T70" s="279">
        <v>-23</v>
      </c>
      <c r="U70" s="279">
        <v>-11</v>
      </c>
      <c r="V70" s="280">
        <v>-11</v>
      </c>
      <c r="W70" s="279">
        <v>-6</v>
      </c>
      <c r="X70" s="279">
        <v>-11</v>
      </c>
      <c r="Y70" s="279">
        <v>-1</v>
      </c>
      <c r="Z70" s="280" t="s">
        <v>113</v>
      </c>
      <c r="AA70" s="279" t="s">
        <v>113</v>
      </c>
      <c r="AB70" s="279" t="s">
        <v>113</v>
      </c>
      <c r="AC70" s="279" t="s">
        <v>113</v>
      </c>
      <c r="AD70" s="280" t="s">
        <v>113</v>
      </c>
      <c r="AE70" s="279" t="s">
        <v>113</v>
      </c>
      <c r="AF70" s="279" t="s">
        <v>113</v>
      </c>
      <c r="AG70" s="279" t="s">
        <v>113</v>
      </c>
      <c r="AH70" s="280" t="s">
        <v>113</v>
      </c>
    </row>
    <row r="71" spans="1:34" ht="10.5">
      <c r="A71" s="258" t="s">
        <v>35</v>
      </c>
      <c r="B71" s="283" t="s">
        <v>113</v>
      </c>
      <c r="C71" s="283" t="s">
        <v>113</v>
      </c>
      <c r="D71" s="259">
        <v>-163</v>
      </c>
      <c r="E71" s="259">
        <v>-394</v>
      </c>
      <c r="F71" s="259">
        <f>SUM(S71:V71)</f>
        <v>-256.16971000000001</v>
      </c>
      <c r="G71" s="259">
        <f>SUM(W71:Z71)</f>
        <v>-117</v>
      </c>
      <c r="H71" s="259">
        <v>-270</v>
      </c>
      <c r="I71" s="259">
        <v>37</v>
      </c>
      <c r="K71" s="259">
        <v>-45</v>
      </c>
      <c r="L71" s="259">
        <v>-53</v>
      </c>
      <c r="M71" s="259">
        <v>-15</v>
      </c>
      <c r="N71" s="260">
        <v>-50</v>
      </c>
      <c r="O71" s="259">
        <v>-95</v>
      </c>
      <c r="P71" s="259">
        <v>-181</v>
      </c>
      <c r="Q71" s="259">
        <v>-126</v>
      </c>
      <c r="R71" s="260">
        <v>8</v>
      </c>
      <c r="S71" s="259">
        <v>-76</v>
      </c>
      <c r="T71" s="259">
        <v>-62</v>
      </c>
      <c r="U71" s="259">
        <v>-65.169709999999995</v>
      </c>
      <c r="V71" s="260">
        <v>-53</v>
      </c>
      <c r="W71" s="259">
        <f t="shared" ref="W71:AB71" si="9">SUM(W69:W70)</f>
        <v>59</v>
      </c>
      <c r="X71" s="259">
        <f t="shared" si="9"/>
        <v>-102</v>
      </c>
      <c r="Y71" s="259">
        <f t="shared" si="9"/>
        <v>-22</v>
      </c>
      <c r="Z71" s="260">
        <f t="shared" si="9"/>
        <v>-52</v>
      </c>
      <c r="AA71" s="259">
        <f t="shared" si="9"/>
        <v>-149</v>
      </c>
      <c r="AB71" s="259">
        <f t="shared" si="9"/>
        <v>-15</v>
      </c>
      <c r="AC71" s="259">
        <v>21</v>
      </c>
      <c r="AD71" s="260">
        <v>-127</v>
      </c>
      <c r="AE71" s="259">
        <v>43</v>
      </c>
      <c r="AF71" s="259">
        <v>75</v>
      </c>
      <c r="AG71" s="259">
        <v>-14</v>
      </c>
      <c r="AH71" s="260">
        <v>-67</v>
      </c>
    </row>
    <row r="72" spans="1:34" ht="10.5">
      <c r="A72" s="244"/>
      <c r="B72" s="261"/>
      <c r="C72" s="261"/>
      <c r="D72" s="261"/>
      <c r="E72" s="261"/>
      <c r="F72" s="261"/>
      <c r="G72" s="245"/>
      <c r="H72" s="245"/>
      <c r="I72" s="245"/>
      <c r="K72" s="261"/>
      <c r="L72" s="261"/>
      <c r="M72" s="261"/>
      <c r="N72" s="262"/>
      <c r="O72" s="261"/>
      <c r="P72" s="261"/>
      <c r="Q72" s="261"/>
      <c r="R72" s="262"/>
      <c r="S72" s="261"/>
      <c r="T72" s="261"/>
      <c r="U72" s="261"/>
      <c r="V72" s="262"/>
      <c r="W72" s="261"/>
      <c r="X72" s="261"/>
      <c r="Y72" s="261"/>
      <c r="Z72" s="262"/>
      <c r="AA72" s="261"/>
      <c r="AB72" s="261"/>
      <c r="AC72" s="261"/>
      <c r="AD72" s="262"/>
      <c r="AE72" s="261"/>
      <c r="AF72" s="261"/>
      <c r="AG72" s="261"/>
      <c r="AH72" s="262"/>
    </row>
    <row r="73" spans="1:34" ht="10.5">
      <c r="A73" s="244"/>
      <c r="B73" s="261"/>
      <c r="C73" s="261"/>
      <c r="D73" s="261"/>
      <c r="E73" s="261"/>
      <c r="F73" s="261"/>
      <c r="G73" s="261"/>
      <c r="H73" s="261"/>
      <c r="I73" s="261"/>
      <c r="K73" s="261"/>
      <c r="L73" s="261"/>
      <c r="M73" s="261"/>
      <c r="N73" s="262"/>
      <c r="O73" s="261"/>
      <c r="P73" s="261"/>
      <c r="Q73" s="261"/>
      <c r="R73" s="262"/>
      <c r="S73" s="261"/>
      <c r="T73" s="261"/>
      <c r="U73" s="261"/>
      <c r="V73" s="262"/>
      <c r="W73" s="261"/>
      <c r="X73" s="261"/>
      <c r="Y73" s="261"/>
      <c r="Z73" s="262"/>
      <c r="AA73" s="261"/>
      <c r="AB73" s="261"/>
      <c r="AC73" s="261"/>
      <c r="AD73" s="262"/>
      <c r="AE73" s="261"/>
      <c r="AF73" s="261"/>
      <c r="AG73" s="261"/>
      <c r="AH73" s="262"/>
    </row>
    <row r="74" spans="1:34" ht="10.5">
      <c r="A74" s="263" t="s">
        <v>253</v>
      </c>
      <c r="B74" s="245">
        <v>2015</v>
      </c>
      <c r="C74" s="245">
        <v>2016</v>
      </c>
      <c r="D74" s="245">
        <v>2017</v>
      </c>
      <c r="E74" s="245">
        <v>2018</v>
      </c>
      <c r="F74" s="245">
        <v>2019</v>
      </c>
      <c r="G74" s="245">
        <v>2020</v>
      </c>
      <c r="H74" s="245">
        <v>2021</v>
      </c>
      <c r="I74" s="245">
        <f t="shared" ref="I74" si="10">SUM(AB74:AE74)</f>
        <v>2022</v>
      </c>
      <c r="K74" s="245">
        <v>2017</v>
      </c>
      <c r="L74" s="245"/>
      <c r="M74" s="245"/>
      <c r="N74" s="246"/>
      <c r="O74" s="245">
        <v>2018</v>
      </c>
      <c r="P74" s="245"/>
      <c r="Q74" s="245"/>
      <c r="R74" s="246"/>
      <c r="S74" s="245">
        <v>2019</v>
      </c>
      <c r="T74" s="245"/>
      <c r="U74" s="245"/>
      <c r="V74" s="246"/>
      <c r="W74" s="245">
        <v>2020</v>
      </c>
      <c r="X74" s="245"/>
      <c r="Y74" s="245"/>
      <c r="Z74" s="246"/>
      <c r="AA74" s="245">
        <v>2021</v>
      </c>
      <c r="AB74" s="245"/>
      <c r="AC74" s="245"/>
      <c r="AD74" s="246" t="s">
        <v>257</v>
      </c>
      <c r="AE74" s="245">
        <v>2022</v>
      </c>
      <c r="AF74" s="245" t="s">
        <v>257</v>
      </c>
      <c r="AG74" s="245"/>
      <c r="AH74" s="246" t="s">
        <v>257</v>
      </c>
    </row>
    <row r="75" spans="1:34" ht="10.5">
      <c r="A75" s="247" t="s">
        <v>244</v>
      </c>
      <c r="B75" s="248" t="s">
        <v>59</v>
      </c>
      <c r="C75" s="248" t="s">
        <v>59</v>
      </c>
      <c r="D75" s="248" t="s">
        <v>59</v>
      </c>
      <c r="E75" s="248" t="s">
        <v>59</v>
      </c>
      <c r="F75" s="248" t="s">
        <v>59</v>
      </c>
      <c r="G75" s="248" t="s">
        <v>59</v>
      </c>
      <c r="H75" s="248" t="s">
        <v>59</v>
      </c>
      <c r="I75" s="248" t="s">
        <v>59</v>
      </c>
      <c r="K75" s="248" t="s">
        <v>14</v>
      </c>
      <c r="L75" s="248" t="s">
        <v>15</v>
      </c>
      <c r="M75" s="248" t="s">
        <v>16</v>
      </c>
      <c r="N75" s="249" t="s">
        <v>17</v>
      </c>
      <c r="O75" s="248" t="s">
        <v>14</v>
      </c>
      <c r="P75" s="248" t="s">
        <v>15</v>
      </c>
      <c r="Q75" s="248" t="s">
        <v>16</v>
      </c>
      <c r="R75" s="249" t="s">
        <v>17</v>
      </c>
      <c r="S75" s="248" t="s">
        <v>14</v>
      </c>
      <c r="T75" s="248" t="s">
        <v>15</v>
      </c>
      <c r="U75" s="248" t="s">
        <v>16</v>
      </c>
      <c r="V75" s="249" t="s">
        <v>17</v>
      </c>
      <c r="W75" s="248" t="s">
        <v>14</v>
      </c>
      <c r="X75" s="248" t="s">
        <v>15</v>
      </c>
      <c r="Y75" s="248" t="s">
        <v>16</v>
      </c>
      <c r="Z75" s="249" t="s">
        <v>17</v>
      </c>
      <c r="AA75" s="248" t="s">
        <v>14</v>
      </c>
      <c r="AB75" s="248" t="s">
        <v>15</v>
      </c>
      <c r="AC75" s="248" t="str">
        <f>+AC$6</f>
        <v>Q3</v>
      </c>
      <c r="AD75" s="249" t="s">
        <v>17</v>
      </c>
      <c r="AE75" s="248" t="s">
        <v>14</v>
      </c>
      <c r="AF75" s="248" t="s">
        <v>15</v>
      </c>
      <c r="AG75" s="248" t="s">
        <v>16</v>
      </c>
      <c r="AH75" s="249" t="s">
        <v>17</v>
      </c>
    </row>
    <row r="76" spans="1:34">
      <c r="A76" s="250" t="s">
        <v>73</v>
      </c>
      <c r="B76" s="294">
        <v>0.71526139764126029</v>
      </c>
      <c r="C76" s="294">
        <v>0.70454460724005519</v>
      </c>
      <c r="D76" s="295">
        <v>0.71922496063751162</v>
      </c>
      <c r="E76" s="295">
        <v>0.74988833127512544</v>
      </c>
      <c r="F76" s="295">
        <v>0.73460309658392731</v>
      </c>
      <c r="G76" s="295">
        <v>0.75</v>
      </c>
      <c r="H76" s="295">
        <f>H17/SUM(H17+H20)</f>
        <v>0.74180898165717901</v>
      </c>
      <c r="I76" s="295">
        <f>I17/SUM(I17+I20)</f>
        <v>0.75761416214041444</v>
      </c>
      <c r="K76" s="295">
        <v>0.70722124373391138</v>
      </c>
      <c r="L76" s="295">
        <v>0.70521047227926081</v>
      </c>
      <c r="M76" s="295">
        <v>0.7163111170001325</v>
      </c>
      <c r="N76" s="296">
        <v>0.74538745387453875</v>
      </c>
      <c r="O76" s="295">
        <v>0.72581827063996096</v>
      </c>
      <c r="P76" s="295">
        <v>0.74920732330980877</v>
      </c>
      <c r="Q76" s="295">
        <v>0.75083682008368202</v>
      </c>
      <c r="R76" s="296">
        <v>0.76836909056388836</v>
      </c>
      <c r="S76" s="295">
        <v>0.73199588477366251</v>
      </c>
      <c r="T76" s="295">
        <v>0.72468949943545347</v>
      </c>
      <c r="U76" s="295">
        <v>0.72621051589266261</v>
      </c>
      <c r="V76" s="296">
        <v>0.75563799668066001</v>
      </c>
      <c r="W76" s="295">
        <v>0.72424042272126821</v>
      </c>
      <c r="X76" s="295">
        <v>0.75937093531985334</v>
      </c>
      <c r="Y76" s="295">
        <v>0.75</v>
      </c>
      <c r="Z76" s="296">
        <v>0.77</v>
      </c>
      <c r="AA76" s="295">
        <v>0.75</v>
      </c>
      <c r="AB76" s="295">
        <v>0.74</v>
      </c>
      <c r="AC76" s="295">
        <v>0.73</v>
      </c>
      <c r="AD76" s="296">
        <v>0.76076255258211756</v>
      </c>
      <c r="AE76" s="295">
        <v>0.73917748917748916</v>
      </c>
      <c r="AF76" s="295">
        <v>0.73306370070778559</v>
      </c>
      <c r="AG76" s="295">
        <v>0.76136541165442895</v>
      </c>
      <c r="AH76" s="296">
        <v>0.79061423650975893</v>
      </c>
    </row>
    <row r="77" spans="1:34">
      <c r="A77" s="250" t="s">
        <v>71</v>
      </c>
      <c r="B77" s="294">
        <v>0.28473860235873966</v>
      </c>
      <c r="C77" s="294">
        <v>0.29545539275994481</v>
      </c>
      <c r="D77" s="295">
        <v>0.28077503936248838</v>
      </c>
      <c r="E77" s="295">
        <v>0.25011166872487456</v>
      </c>
      <c r="F77" s="295">
        <v>0.26539690341607275</v>
      </c>
      <c r="G77" s="295">
        <v>0.25</v>
      </c>
      <c r="H77" s="295">
        <f>100%-H76</f>
        <v>0.25819101834282099</v>
      </c>
      <c r="I77" s="295">
        <f>100%-I76</f>
        <v>0.24238583785958556</v>
      </c>
      <c r="K77" s="295">
        <v>0.29277875626608862</v>
      </c>
      <c r="L77" s="295">
        <v>0.29478952772073924</v>
      </c>
      <c r="M77" s="295">
        <v>0.2836888829998675</v>
      </c>
      <c r="N77" s="296">
        <v>0.25461254612546125</v>
      </c>
      <c r="O77" s="295">
        <v>0.27418172936003909</v>
      </c>
      <c r="P77" s="295">
        <v>0.25079267669019129</v>
      </c>
      <c r="Q77" s="295">
        <v>0.24916317991631798</v>
      </c>
      <c r="R77" s="296">
        <v>0.23163090943611164</v>
      </c>
      <c r="S77" s="295">
        <v>0.26800411522633744</v>
      </c>
      <c r="T77" s="295">
        <v>0.27531050056454648</v>
      </c>
      <c r="U77" s="295">
        <v>0.27378948410733733</v>
      </c>
      <c r="V77" s="296">
        <v>0.24436200331934005</v>
      </c>
      <c r="W77" s="295">
        <v>0.27575957727873185</v>
      </c>
      <c r="X77" s="295">
        <v>0.24062906468014664</v>
      </c>
      <c r="Y77" s="295">
        <v>0.25</v>
      </c>
      <c r="Z77" s="296">
        <v>0.23</v>
      </c>
      <c r="AA77" s="295">
        <v>0.25</v>
      </c>
      <c r="AB77" s="295">
        <v>0.26</v>
      </c>
      <c r="AC77" s="295">
        <v>0.27</v>
      </c>
      <c r="AD77" s="296">
        <v>0.23664190459142576</v>
      </c>
      <c r="AE77" s="295">
        <v>0.25946969696969696</v>
      </c>
      <c r="AF77" s="295">
        <v>0.26575665655544323</v>
      </c>
      <c r="AG77" s="295">
        <v>0.23699421965317918</v>
      </c>
      <c r="AH77" s="296">
        <v>0.21412169919632607</v>
      </c>
    </row>
    <row r="78" spans="1:34">
      <c r="N78" s="71"/>
      <c r="R78" s="71"/>
      <c r="V78" s="71"/>
      <c r="Z78" s="71"/>
      <c r="AD78" s="71"/>
      <c r="AH78" s="71"/>
    </row>
    <row r="79" spans="1:34">
      <c r="N79" s="71"/>
      <c r="R79" s="71"/>
      <c r="V79" s="71"/>
      <c r="Z79" s="71"/>
      <c r="AD79" s="71"/>
      <c r="AH79" s="71"/>
    </row>
    <row r="80" spans="1:34" ht="10.5">
      <c r="A80" s="263" t="s">
        <v>248</v>
      </c>
      <c r="B80" s="245">
        <v>2015</v>
      </c>
      <c r="C80" s="245">
        <v>2016</v>
      </c>
      <c r="D80" s="245">
        <v>2017</v>
      </c>
      <c r="E80" s="245">
        <v>2018</v>
      </c>
      <c r="F80" s="245">
        <v>2019</v>
      </c>
      <c r="G80" s="245">
        <v>2020</v>
      </c>
      <c r="H80" s="245">
        <v>2021</v>
      </c>
      <c r="I80" s="245">
        <f t="shared" ref="I80" si="11">SUM(AB80:AE80)</f>
        <v>2022</v>
      </c>
      <c r="K80" s="245">
        <v>2017</v>
      </c>
      <c r="L80" s="245"/>
      <c r="M80" s="245"/>
      <c r="N80" s="246"/>
      <c r="O80" s="245">
        <v>2018</v>
      </c>
      <c r="P80" s="245"/>
      <c r="Q80" s="245"/>
      <c r="R80" s="246"/>
      <c r="S80" s="245">
        <v>2019</v>
      </c>
      <c r="T80" s="245"/>
      <c r="U80" s="245"/>
      <c r="V80" s="246"/>
      <c r="W80" s="245">
        <v>2020</v>
      </c>
      <c r="X80" s="245"/>
      <c r="Y80" s="245"/>
      <c r="Z80" s="246"/>
      <c r="AA80" s="245">
        <v>2021</v>
      </c>
      <c r="AB80" s="245"/>
      <c r="AC80" s="245"/>
      <c r="AD80" s="246" t="s">
        <v>257</v>
      </c>
      <c r="AE80" s="245">
        <v>2022</v>
      </c>
      <c r="AF80" s="245" t="s">
        <v>257</v>
      </c>
      <c r="AG80" s="245"/>
      <c r="AH80" s="246" t="s">
        <v>257</v>
      </c>
    </row>
    <row r="81" spans="1:34" ht="10.5">
      <c r="A81" s="247" t="s">
        <v>254</v>
      </c>
      <c r="B81" s="248" t="s">
        <v>59</v>
      </c>
      <c r="C81" s="248" t="s">
        <v>59</v>
      </c>
      <c r="D81" s="248" t="s">
        <v>59</v>
      </c>
      <c r="E81" s="248" t="s">
        <v>59</v>
      </c>
      <c r="F81" s="248" t="s">
        <v>59</v>
      </c>
      <c r="G81" s="248" t="s">
        <v>59</v>
      </c>
      <c r="H81" s="248" t="s">
        <v>59</v>
      </c>
      <c r="I81" s="248" t="s">
        <v>59</v>
      </c>
      <c r="K81" s="248" t="s">
        <v>14</v>
      </c>
      <c r="L81" s="248" t="s">
        <v>15</v>
      </c>
      <c r="M81" s="248" t="s">
        <v>16</v>
      </c>
      <c r="N81" s="249" t="s">
        <v>17</v>
      </c>
      <c r="O81" s="248" t="s">
        <v>14</v>
      </c>
      <c r="P81" s="248" t="s">
        <v>15</v>
      </c>
      <c r="Q81" s="248" t="s">
        <v>16</v>
      </c>
      <c r="R81" s="249" t="s">
        <v>17</v>
      </c>
      <c r="S81" s="248" t="s">
        <v>14</v>
      </c>
      <c r="T81" s="248" t="s">
        <v>15</v>
      </c>
      <c r="U81" s="248" t="s">
        <v>16</v>
      </c>
      <c r="V81" s="249" t="s">
        <v>17</v>
      </c>
      <c r="W81" s="248" t="s">
        <v>14</v>
      </c>
      <c r="X81" s="248" t="s">
        <v>15</v>
      </c>
      <c r="Y81" s="248" t="s">
        <v>16</v>
      </c>
      <c r="Z81" s="249" t="s">
        <v>17</v>
      </c>
      <c r="AA81" s="248" t="s">
        <v>14</v>
      </c>
      <c r="AB81" s="248" t="s">
        <v>15</v>
      </c>
      <c r="AC81" s="248" t="str">
        <f>+AC$6</f>
        <v>Q3</v>
      </c>
      <c r="AD81" s="249" t="s">
        <v>17</v>
      </c>
      <c r="AE81" s="248" t="s">
        <v>14</v>
      </c>
      <c r="AF81" s="248" t="s">
        <v>15</v>
      </c>
      <c r="AG81" s="248" t="s">
        <v>16</v>
      </c>
      <c r="AH81" s="249" t="s">
        <v>17</v>
      </c>
    </row>
    <row r="82" spans="1:34">
      <c r="A82" s="250" t="s">
        <v>249</v>
      </c>
      <c r="B82" s="294">
        <v>0.3</v>
      </c>
      <c r="C82" s="294">
        <v>0.28999999999999998</v>
      </c>
      <c r="D82" s="294">
        <v>0.33</v>
      </c>
      <c r="E82" s="295">
        <v>0.37</v>
      </c>
      <c r="F82" s="295">
        <v>0.34</v>
      </c>
      <c r="G82" s="295">
        <v>0.32064963924172174</v>
      </c>
      <c r="H82" s="295">
        <f>H84/(H84+H85)</f>
        <v>0.30858950031625554</v>
      </c>
      <c r="I82" s="295">
        <f>I84/(I84+I85)</f>
        <v>0.30573325286662645</v>
      </c>
      <c r="K82" s="295">
        <v>0.3</v>
      </c>
      <c r="L82" s="295">
        <v>0.32</v>
      </c>
      <c r="M82" s="295">
        <v>0.32</v>
      </c>
      <c r="N82" s="296">
        <v>0.38</v>
      </c>
      <c r="O82" s="295">
        <v>0.33</v>
      </c>
      <c r="P82" s="295">
        <v>0.37</v>
      </c>
      <c r="Q82" s="295">
        <v>0.37</v>
      </c>
      <c r="R82" s="296">
        <v>0.41</v>
      </c>
      <c r="S82" s="295">
        <v>0.34392486011191048</v>
      </c>
      <c r="T82" s="295">
        <v>0.34085499381129203</v>
      </c>
      <c r="U82" s="295">
        <v>0.32</v>
      </c>
      <c r="V82" s="296">
        <v>0.36</v>
      </c>
      <c r="W82" s="295">
        <v>0.28000000000000003</v>
      </c>
      <c r="X82" s="295">
        <v>0.33</v>
      </c>
      <c r="Y82" s="295">
        <v>0.31</v>
      </c>
      <c r="Z82" s="296">
        <v>0.35</v>
      </c>
      <c r="AA82" s="295">
        <v>0.28999999999999998</v>
      </c>
      <c r="AB82" s="295">
        <v>0.31</v>
      </c>
      <c r="AC82" s="295">
        <v>0.28000000000000003</v>
      </c>
      <c r="AD82" s="296">
        <v>0.33930009845162445</v>
      </c>
      <c r="AE82" s="295">
        <v>0.30753968253968256</v>
      </c>
      <c r="AF82" s="295">
        <v>0.26879002359285475</v>
      </c>
      <c r="AG82" s="295">
        <v>0.2994063427589439</v>
      </c>
      <c r="AH82" s="296">
        <v>0.35</v>
      </c>
    </row>
    <row r="83" spans="1:34">
      <c r="A83" s="250" t="s">
        <v>250</v>
      </c>
      <c r="B83" s="294">
        <v>0.7</v>
      </c>
      <c r="C83" s="294">
        <v>0.71</v>
      </c>
      <c r="D83" s="294">
        <v>0.67</v>
      </c>
      <c r="E83" s="295">
        <v>0.63</v>
      </c>
      <c r="F83" s="295">
        <v>0.66</v>
      </c>
      <c r="G83" s="295">
        <v>0.67935036075827826</v>
      </c>
      <c r="H83" s="295">
        <f>H85/(H84+H85)</f>
        <v>0.69141049968374446</v>
      </c>
      <c r="I83" s="295">
        <f>I85/(I84+I85)</f>
        <v>0.69426674713337355</v>
      </c>
      <c r="K83" s="295">
        <v>0.7</v>
      </c>
      <c r="L83" s="295">
        <v>0.68</v>
      </c>
      <c r="M83" s="295">
        <v>0.68</v>
      </c>
      <c r="N83" s="296">
        <v>0.62</v>
      </c>
      <c r="O83" s="295">
        <v>0.67</v>
      </c>
      <c r="P83" s="295">
        <v>0.63</v>
      </c>
      <c r="Q83" s="295">
        <v>0.63</v>
      </c>
      <c r="R83" s="296">
        <v>0.59</v>
      </c>
      <c r="S83" s="295">
        <v>0.65607513988808952</v>
      </c>
      <c r="T83" s="295">
        <v>0.65914500618870797</v>
      </c>
      <c r="U83" s="295">
        <v>0.68</v>
      </c>
      <c r="V83" s="296">
        <v>0.64</v>
      </c>
      <c r="W83" s="295">
        <v>0.72</v>
      </c>
      <c r="X83" s="295">
        <v>0.67269717393874895</v>
      </c>
      <c r="Y83" s="295">
        <v>0.69</v>
      </c>
      <c r="Z83" s="296">
        <v>0.65</v>
      </c>
      <c r="AA83" s="295">
        <v>0.71</v>
      </c>
      <c r="AB83" s="295">
        <v>0.69</v>
      </c>
      <c r="AC83" s="295">
        <v>0.72</v>
      </c>
      <c r="AD83" s="296">
        <v>0.65810435872191886</v>
      </c>
      <c r="AE83" s="295">
        <v>0.69110750360750361</v>
      </c>
      <c r="AF83" s="295">
        <v>0.73003033367037407</v>
      </c>
      <c r="AG83" s="295">
        <v>0.69903140134354003</v>
      </c>
      <c r="AH83" s="296">
        <v>0.65</v>
      </c>
    </row>
    <row r="84" spans="1:34">
      <c r="A84" s="250" t="s">
        <v>251</v>
      </c>
      <c r="B84" s="265">
        <v>8510</v>
      </c>
      <c r="C84" s="265">
        <v>7710</v>
      </c>
      <c r="D84" s="251">
        <v>10276</v>
      </c>
      <c r="E84" s="251">
        <v>14238</v>
      </c>
      <c r="F84" s="251">
        <v>13862</v>
      </c>
      <c r="G84" s="251">
        <v>11382</v>
      </c>
      <c r="H84" s="251">
        <f>H18</f>
        <v>12197</v>
      </c>
      <c r="I84" s="251">
        <f>I18</f>
        <v>15198</v>
      </c>
      <c r="K84" s="251">
        <v>2219</v>
      </c>
      <c r="L84" s="251">
        <v>2469</v>
      </c>
      <c r="M84" s="251">
        <v>2414</v>
      </c>
      <c r="N84" s="252">
        <v>3174</v>
      </c>
      <c r="O84" s="251">
        <v>2678</v>
      </c>
      <c r="P84" s="251">
        <v>3640</v>
      </c>
      <c r="Q84" s="251">
        <v>3570</v>
      </c>
      <c r="R84" s="252">
        <v>4350</v>
      </c>
      <c r="S84" s="251">
        <v>3313</v>
      </c>
      <c r="T84" s="251">
        <v>3638</v>
      </c>
      <c r="U84" s="251">
        <v>3198</v>
      </c>
      <c r="V84" s="252">
        <v>3713</v>
      </c>
      <c r="W84" s="251">
        <v>2519</v>
      </c>
      <c r="X84" s="251">
        <v>2768</v>
      </c>
      <c r="Y84" s="251">
        <v>2688</v>
      </c>
      <c r="Z84" s="252">
        <v>3407</v>
      </c>
      <c r="AA84" s="251">
        <v>2562</v>
      </c>
      <c r="AB84" s="265">
        <v>3052</v>
      </c>
      <c r="AC84" s="265">
        <v>2792</v>
      </c>
      <c r="AD84" s="252">
        <v>3791</v>
      </c>
      <c r="AE84" s="251">
        <v>3410</v>
      </c>
      <c r="AF84" s="251">
        <v>3190</v>
      </c>
      <c r="AG84" s="251">
        <v>3832</v>
      </c>
      <c r="AH84" s="252">
        <v>4766</v>
      </c>
    </row>
    <row r="85" spans="1:34">
      <c r="A85" s="42" t="s">
        <v>252</v>
      </c>
      <c r="B85" s="297">
        <v>19895</v>
      </c>
      <c r="C85" s="297">
        <v>19113</v>
      </c>
      <c r="D85" s="58">
        <v>20844.760383407502</v>
      </c>
      <c r="E85" s="58">
        <v>23821</v>
      </c>
      <c r="F85" s="58">
        <v>26829</v>
      </c>
      <c r="G85" s="58">
        <v>24569</v>
      </c>
      <c r="H85" s="58">
        <f>H19+H20</f>
        <v>27328</v>
      </c>
      <c r="I85" s="58">
        <f>I19+I20</f>
        <v>34512</v>
      </c>
      <c r="K85" s="58">
        <v>5161.7719271698006</v>
      </c>
      <c r="L85" s="58">
        <v>5323</v>
      </c>
      <c r="M85" s="58">
        <v>5133</v>
      </c>
      <c r="N85" s="215">
        <v>5227.1511000085002</v>
      </c>
      <c r="O85" s="58">
        <v>5510</v>
      </c>
      <c r="P85" s="58">
        <v>6137</v>
      </c>
      <c r="Q85" s="58">
        <v>5990</v>
      </c>
      <c r="R85" s="215">
        <v>6184.3818536147</v>
      </c>
      <c r="S85" s="58">
        <v>6407</v>
      </c>
      <c r="T85" s="58">
        <v>6990</v>
      </c>
      <c r="U85" s="58">
        <v>6901</v>
      </c>
      <c r="V85" s="215">
        <v>6531</v>
      </c>
      <c r="W85" s="58">
        <v>6565</v>
      </c>
      <c r="X85" s="58">
        <v>5689</v>
      </c>
      <c r="Y85" s="58">
        <v>5979</v>
      </c>
      <c r="Z85" s="215">
        <v>6336</v>
      </c>
      <c r="AA85" s="58">
        <v>6174</v>
      </c>
      <c r="AB85" s="58">
        <v>6652</v>
      </c>
      <c r="AC85" s="58">
        <v>7149</v>
      </c>
      <c r="AD85" s="215">
        <v>7353</v>
      </c>
      <c r="AE85" s="58">
        <v>7663</v>
      </c>
      <c r="AF85" s="58">
        <v>8664</v>
      </c>
      <c r="AG85" s="58">
        <v>8949</v>
      </c>
      <c r="AH85" s="215">
        <v>9236</v>
      </c>
    </row>
    <row r="86" spans="1:34">
      <c r="H86" s="425"/>
      <c r="I86" s="425"/>
      <c r="N86" s="71"/>
      <c r="R86" s="71"/>
      <c r="V86" s="71"/>
      <c r="Z86" s="71"/>
      <c r="AD86" s="71"/>
      <c r="AH86" s="71"/>
    </row>
    <row r="87" spans="1:34" ht="10.5">
      <c r="A87" s="263" t="s">
        <v>409</v>
      </c>
      <c r="B87" s="245">
        <v>2015</v>
      </c>
      <c r="C87" s="245">
        <v>2016</v>
      </c>
      <c r="D87" s="245">
        <v>2017</v>
      </c>
      <c r="E87" s="245">
        <v>2018</v>
      </c>
      <c r="F87" s="245">
        <v>2019</v>
      </c>
      <c r="G87" s="245">
        <v>2020</v>
      </c>
      <c r="H87" s="245">
        <v>2021</v>
      </c>
      <c r="I87" s="245">
        <f t="shared" ref="I87" si="12">SUM(AB87:AE87)</f>
        <v>2022</v>
      </c>
      <c r="K87" s="245">
        <v>2017</v>
      </c>
      <c r="L87" s="245"/>
      <c r="M87" s="245"/>
      <c r="N87" s="246"/>
      <c r="O87" s="245">
        <v>2018</v>
      </c>
      <c r="P87" s="245"/>
      <c r="Q87" s="245"/>
      <c r="R87" s="246"/>
      <c r="S87" s="245">
        <v>2019</v>
      </c>
      <c r="T87" s="245"/>
      <c r="U87" s="245"/>
      <c r="V87" s="246"/>
      <c r="W87" s="245">
        <v>2020</v>
      </c>
      <c r="X87" s="245"/>
      <c r="Y87" s="245"/>
      <c r="Z87" s="246"/>
      <c r="AA87" s="245">
        <v>2021</v>
      </c>
      <c r="AB87" s="245"/>
      <c r="AC87" s="245"/>
      <c r="AD87" s="246"/>
      <c r="AE87" s="245">
        <v>2022</v>
      </c>
      <c r="AF87" s="245" t="s">
        <v>257</v>
      </c>
      <c r="AG87" s="245" t="s">
        <v>257</v>
      </c>
      <c r="AH87" s="246" t="s">
        <v>257</v>
      </c>
    </row>
    <row r="88" spans="1:34" ht="10.5">
      <c r="A88" s="247" t="s">
        <v>244</v>
      </c>
      <c r="B88" s="248" t="s">
        <v>59</v>
      </c>
      <c r="C88" s="248" t="s">
        <v>59</v>
      </c>
      <c r="D88" s="248" t="s">
        <v>59</v>
      </c>
      <c r="E88" s="248" t="s">
        <v>59</v>
      </c>
      <c r="F88" s="248" t="s">
        <v>59</v>
      </c>
      <c r="G88" s="248" t="s">
        <v>59</v>
      </c>
      <c r="H88" s="248" t="s">
        <v>400</v>
      </c>
      <c r="I88" s="248" t="s">
        <v>59</v>
      </c>
      <c r="K88" s="248" t="s">
        <v>14</v>
      </c>
      <c r="L88" s="248" t="s">
        <v>15</v>
      </c>
      <c r="M88" s="248" t="s">
        <v>16</v>
      </c>
      <c r="N88" s="249" t="s">
        <v>17</v>
      </c>
      <c r="O88" s="248" t="s">
        <v>14</v>
      </c>
      <c r="P88" s="248" t="s">
        <v>15</v>
      </c>
      <c r="Q88" s="248" t="s">
        <v>16</v>
      </c>
      <c r="R88" s="249" t="s">
        <v>17</v>
      </c>
      <c r="S88" s="248" t="s">
        <v>14</v>
      </c>
      <c r="T88" s="248" t="s">
        <v>15</v>
      </c>
      <c r="U88" s="248" t="s">
        <v>16</v>
      </c>
      <c r="V88" s="249" t="s">
        <v>17</v>
      </c>
      <c r="W88" s="248" t="s">
        <v>14</v>
      </c>
      <c r="X88" s="248" t="s">
        <v>15</v>
      </c>
      <c r="Y88" s="248" t="s">
        <v>16</v>
      </c>
      <c r="Z88" s="249" t="s">
        <v>17</v>
      </c>
      <c r="AA88" s="248" t="s">
        <v>14</v>
      </c>
      <c r="AB88" s="248" t="s">
        <v>15</v>
      </c>
      <c r="AC88" s="248" t="str">
        <f>+AC$6</f>
        <v>Q3</v>
      </c>
      <c r="AD88" s="249" t="str">
        <f>+AD$6</f>
        <v>Q4</v>
      </c>
      <c r="AE88" s="248" t="s">
        <v>14</v>
      </c>
      <c r="AF88" s="248" t="s">
        <v>15</v>
      </c>
      <c r="AG88" s="248" t="s">
        <v>16</v>
      </c>
      <c r="AH88" s="249" t="s">
        <v>17</v>
      </c>
    </row>
    <row r="89" spans="1:34">
      <c r="A89" s="42" t="s">
        <v>246</v>
      </c>
      <c r="B89" s="251">
        <v>94.566126888812335</v>
      </c>
      <c r="C89" s="251">
        <v>102.72515610117472</v>
      </c>
      <c r="D89" s="251">
        <v>109.78986775176296</v>
      </c>
      <c r="E89" s="251">
        <v>104.04695164681151</v>
      </c>
      <c r="F89" s="251">
        <v>95.376534742899196</v>
      </c>
      <c r="G89" s="251">
        <f>G7/G17*100</f>
        <v>101.20696698481078</v>
      </c>
      <c r="H89" s="251">
        <f>H7/H17*100</f>
        <v>117.71145975443382</v>
      </c>
      <c r="I89" s="251">
        <f>I7/I17*100</f>
        <v>110.3688165476222</v>
      </c>
      <c r="K89" s="251">
        <v>118.77832019793486</v>
      </c>
      <c r="L89" s="251">
        <v>115.06893147488444</v>
      </c>
      <c r="M89" s="251">
        <v>115.85275619681835</v>
      </c>
      <c r="N89" s="252">
        <v>92.43053337591823</v>
      </c>
      <c r="O89" s="251">
        <v>125.22295137136126</v>
      </c>
      <c r="P89" s="251">
        <v>108.49146757679181</v>
      </c>
      <c r="Q89" s="251">
        <v>100.16717748676511</v>
      </c>
      <c r="R89" s="252">
        <v>87.916975537435135</v>
      </c>
      <c r="S89" s="251">
        <v>101.86929023190443</v>
      </c>
      <c r="T89" s="251">
        <v>99.675408984679308</v>
      </c>
      <c r="U89" s="251">
        <v>93.727842923370602</v>
      </c>
      <c r="V89" s="252">
        <v>86.692506459948319</v>
      </c>
      <c r="W89" s="251">
        <v>107.9343365253078</v>
      </c>
      <c r="X89" s="251">
        <v>95.437558393023977</v>
      </c>
      <c r="Y89" s="251">
        <v>109</v>
      </c>
      <c r="Z89" s="252">
        <v>93</v>
      </c>
      <c r="AA89" s="251">
        <v>125</v>
      </c>
      <c r="AB89" s="251">
        <v>117</v>
      </c>
      <c r="AC89" s="251">
        <v>129</v>
      </c>
      <c r="AD89" s="252">
        <v>104</v>
      </c>
      <c r="AE89" s="251">
        <v>129</v>
      </c>
      <c r="AF89" s="251">
        <v>121.45977011494253</v>
      </c>
      <c r="AG89" s="251">
        <v>98</v>
      </c>
      <c r="AH89" s="252">
        <v>99.165002722817206</v>
      </c>
    </row>
    <row r="90" spans="1:34">
      <c r="A90" s="42" t="s">
        <v>247</v>
      </c>
      <c r="B90" s="251">
        <v>100.25964391691396</v>
      </c>
      <c r="C90" s="251">
        <v>100.27760252365931</v>
      </c>
      <c r="D90" s="251">
        <v>103.53659387401122</v>
      </c>
      <c r="E90" s="251">
        <v>100.96648807647861</v>
      </c>
      <c r="F90" s="251">
        <v>99.712936382998436</v>
      </c>
      <c r="G90" s="251">
        <f>G10/G20*100</f>
        <v>101.78413120567376</v>
      </c>
      <c r="H90" s="251">
        <f>H10/H20*100</f>
        <v>108.03527682508573</v>
      </c>
      <c r="I90" s="251">
        <f>I10/I20*100</f>
        <v>97.891941239936926</v>
      </c>
      <c r="K90" s="251">
        <v>108.3412565233827</v>
      </c>
      <c r="L90" s="251">
        <v>98.807825565245977</v>
      </c>
      <c r="M90" s="251">
        <v>104.5846457733349</v>
      </c>
      <c r="N90" s="252">
        <v>102.71154745208042</v>
      </c>
      <c r="O90" s="251">
        <v>113.58574610244989</v>
      </c>
      <c r="P90" s="251">
        <v>100.73409461663947</v>
      </c>
      <c r="Q90" s="251">
        <v>95.927791771620491</v>
      </c>
      <c r="R90" s="252">
        <v>94.508196721311478</v>
      </c>
      <c r="S90" s="251">
        <v>105.95009596928983</v>
      </c>
      <c r="T90" s="251">
        <v>96.582365003417635</v>
      </c>
      <c r="U90" s="251">
        <v>96.383363471971066</v>
      </c>
      <c r="V90" s="252">
        <v>100.55932880543348</v>
      </c>
      <c r="W90" s="251">
        <v>104.55089820359282</v>
      </c>
      <c r="X90" s="251">
        <v>97.297297297297305</v>
      </c>
      <c r="Y90" s="251">
        <v>102</v>
      </c>
      <c r="Z90" s="252">
        <v>102</v>
      </c>
      <c r="AA90" s="251">
        <v>114</v>
      </c>
      <c r="AB90" s="251">
        <v>106</v>
      </c>
      <c r="AC90" s="251">
        <v>106</v>
      </c>
      <c r="AD90" s="252">
        <v>106</v>
      </c>
      <c r="AE90" s="251">
        <v>113</v>
      </c>
      <c r="AF90" s="251">
        <v>89.568801521876978</v>
      </c>
      <c r="AG90" s="251">
        <v>91</v>
      </c>
      <c r="AH90" s="252">
        <v>98.525469168900798</v>
      </c>
    </row>
    <row r="91" spans="1:34" ht="10.5">
      <c r="A91" s="258" t="s">
        <v>245</v>
      </c>
      <c r="B91" s="298">
        <v>96.120434009001158</v>
      </c>
      <c r="C91" s="298">
        <v>101.9629547634861</v>
      </c>
      <c r="D91" s="298">
        <v>107.86485465678139</v>
      </c>
      <c r="E91" s="298">
        <v>102.91236776805536</v>
      </c>
      <c r="F91" s="298">
        <v>96.678009253592506</v>
      </c>
      <c r="G91" s="298">
        <f>G12/G22*100</f>
        <v>101.26515696805272</v>
      </c>
      <c r="H91" s="298">
        <f>H12/H22*100</f>
        <v>115.14188422247446</v>
      </c>
      <c r="I91" s="298">
        <f>I12/I22*100</f>
        <v>107.09944862558859</v>
      </c>
      <c r="K91" s="298">
        <v>114.96040280340173</v>
      </c>
      <c r="L91" s="298">
        <v>109.93166026423151</v>
      </c>
      <c r="M91" s="298">
        <v>112.89299955331273</v>
      </c>
      <c r="N91" s="299">
        <v>95.203213610586019</v>
      </c>
      <c r="O91" s="298">
        <v>121.89967205150005</v>
      </c>
      <c r="P91" s="298">
        <v>106.50208269836432</v>
      </c>
      <c r="Q91" s="298">
        <v>97.533934307325666</v>
      </c>
      <c r="R91" s="299">
        <v>89.676075014207228</v>
      </c>
      <c r="S91" s="298">
        <v>102.84108329075114</v>
      </c>
      <c r="T91" s="298">
        <v>99.313005834744956</v>
      </c>
      <c r="U91" s="298">
        <v>94.506792675723574</v>
      </c>
      <c r="V91" s="299">
        <v>90.233463035019454</v>
      </c>
      <c r="W91" s="298">
        <v>106.98489161375082</v>
      </c>
      <c r="X91" s="298">
        <v>95.826436509813192</v>
      </c>
      <c r="Y91" s="298">
        <v>107</v>
      </c>
      <c r="Z91" s="299">
        <v>95</v>
      </c>
      <c r="AA91" s="298">
        <v>122</v>
      </c>
      <c r="AB91" s="298">
        <v>114</v>
      </c>
      <c r="AC91" s="298">
        <v>123</v>
      </c>
      <c r="AD91" s="299">
        <v>104</v>
      </c>
      <c r="AE91" s="298">
        <v>125</v>
      </c>
      <c r="AF91" s="298">
        <v>112.71486349848333</v>
      </c>
      <c r="AG91" s="298">
        <v>96</v>
      </c>
      <c r="AH91" s="299">
        <v>98</v>
      </c>
    </row>
    <row r="92" spans="1:34">
      <c r="B92" s="431"/>
      <c r="C92" s="431"/>
      <c r="D92" s="431"/>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row>
    <row r="93" spans="1:34">
      <c r="A93" s="54" t="s">
        <v>228</v>
      </c>
    </row>
    <row r="94" spans="1:34">
      <c r="A94" s="42" t="s">
        <v>394</v>
      </c>
    </row>
    <row r="95" spans="1:34">
      <c r="B95" s="414"/>
      <c r="C95" s="414"/>
      <c r="D95" s="414"/>
      <c r="E95" s="151"/>
      <c r="K95" s="414"/>
      <c r="L95" s="414"/>
      <c r="M95" s="414"/>
      <c r="O95" s="414"/>
      <c r="P95" s="414"/>
      <c r="Q95" s="414"/>
      <c r="S95" s="414"/>
      <c r="T95" s="414"/>
      <c r="U95" s="414"/>
      <c r="W95" s="414"/>
      <c r="X95" s="414"/>
      <c r="Y95" s="414"/>
      <c r="AA95" s="414"/>
      <c r="AB95" s="414"/>
      <c r="AC95" s="414"/>
      <c r="AE95" s="414"/>
      <c r="AF95" s="414"/>
      <c r="AG95" s="414"/>
    </row>
    <row r="96" spans="1:34">
      <c r="B96" s="414"/>
      <c r="C96" s="414"/>
      <c r="D96" s="414"/>
      <c r="E96" s="58"/>
      <c r="F96" s="54"/>
      <c r="K96" s="414"/>
      <c r="L96" s="414"/>
      <c r="M96" s="414"/>
      <c r="O96" s="414"/>
      <c r="P96" s="414"/>
      <c r="Q96" s="414"/>
      <c r="S96" s="414"/>
      <c r="T96" s="414"/>
      <c r="U96" s="414"/>
      <c r="W96" s="414"/>
      <c r="X96" s="414"/>
      <c r="Y96" s="414"/>
      <c r="AA96" s="414"/>
      <c r="AB96" s="414"/>
      <c r="AC96" s="414"/>
      <c r="AE96" s="414"/>
      <c r="AF96" s="414"/>
      <c r="AG96" s="414"/>
    </row>
    <row r="97" spans="2:33">
      <c r="B97" s="58"/>
      <c r="C97" s="58"/>
    </row>
    <row r="98" spans="2:33">
      <c r="B98" s="363"/>
      <c r="C98" s="363"/>
      <c r="D98" s="363"/>
      <c r="E98" s="415"/>
      <c r="F98" s="415"/>
      <c r="G98" s="415"/>
      <c r="H98" s="415"/>
      <c r="I98" s="415"/>
      <c r="J98" s="415"/>
      <c r="K98" s="415"/>
      <c r="L98" s="415"/>
      <c r="M98" s="415"/>
      <c r="O98" s="415"/>
      <c r="P98" s="415"/>
      <c r="Q98" s="415"/>
      <c r="S98" s="415"/>
      <c r="T98" s="415"/>
      <c r="U98" s="415"/>
      <c r="W98" s="415"/>
      <c r="X98" s="415"/>
      <c r="Y98" s="415"/>
      <c r="AA98" s="415"/>
      <c r="AB98" s="415"/>
      <c r="AC98" s="415"/>
      <c r="AE98" s="415"/>
      <c r="AF98" s="415"/>
      <c r="AG98" s="415"/>
    </row>
    <row r="99" spans="2:33">
      <c r="B99" s="228"/>
      <c r="C99" s="228"/>
      <c r="D99" s="228"/>
      <c r="E99" s="415"/>
      <c r="F99" s="415"/>
      <c r="G99" s="415"/>
      <c r="H99" s="415"/>
      <c r="I99" s="415"/>
      <c r="J99" s="415"/>
      <c r="K99" s="415"/>
      <c r="L99" s="415"/>
      <c r="M99" s="415"/>
      <c r="O99" s="415"/>
      <c r="P99" s="415"/>
      <c r="Q99" s="415"/>
      <c r="S99" s="415"/>
      <c r="T99" s="415"/>
      <c r="U99" s="415"/>
      <c r="W99" s="415"/>
      <c r="X99" s="415"/>
      <c r="Y99" s="415"/>
      <c r="AA99" s="415"/>
      <c r="AB99" s="415"/>
      <c r="AC99" s="415"/>
      <c r="AE99" s="415"/>
      <c r="AF99" s="415"/>
      <c r="AG99" s="415"/>
    </row>
    <row r="100" spans="2:33">
      <c r="B100" s="228"/>
      <c r="C100" s="228"/>
      <c r="D100" s="228"/>
      <c r="E100" s="58"/>
      <c r="F100" s="58"/>
      <c r="G100" s="58"/>
      <c r="H100" s="58"/>
      <c r="I100" s="58"/>
      <c r="J100" s="58"/>
      <c r="K100" s="58"/>
      <c r="L100" s="58"/>
      <c r="M100" s="58"/>
      <c r="O100" s="58"/>
      <c r="P100" s="58"/>
      <c r="Q100" s="58"/>
      <c r="S100" s="58"/>
      <c r="T100" s="58"/>
      <c r="U100" s="58"/>
      <c r="W100" s="58"/>
      <c r="X100" s="58"/>
      <c r="Y100" s="58"/>
      <c r="AA100" s="58"/>
      <c r="AB100" s="58"/>
      <c r="AC100" s="58"/>
      <c r="AE100" s="58"/>
      <c r="AF100" s="58"/>
      <c r="AG100" s="58"/>
    </row>
    <row r="101" spans="2:33">
      <c r="E101" s="228"/>
      <c r="F101" s="228"/>
      <c r="G101" s="228"/>
      <c r="H101" s="228"/>
      <c r="I101" s="228"/>
      <c r="J101" s="228"/>
      <c r="K101" s="228"/>
      <c r="L101" s="228"/>
      <c r="M101" s="228"/>
      <c r="O101" s="228"/>
      <c r="P101" s="228"/>
      <c r="Q101" s="228"/>
      <c r="S101" s="228"/>
      <c r="T101" s="228"/>
      <c r="U101" s="228"/>
      <c r="W101" s="228"/>
      <c r="X101" s="228"/>
      <c r="Y101" s="228"/>
      <c r="AA101" s="228"/>
      <c r="AB101" s="228"/>
      <c r="AC101" s="228"/>
      <c r="AE101" s="228"/>
      <c r="AF101" s="228"/>
      <c r="AG101" s="228"/>
    </row>
    <row r="102" spans="2:33">
      <c r="D102" s="228"/>
      <c r="E102" s="228"/>
      <c r="F102" s="228"/>
      <c r="G102" s="228"/>
      <c r="H102" s="228"/>
      <c r="I102" s="228"/>
      <c r="J102" s="228"/>
      <c r="K102" s="228"/>
      <c r="L102" s="228"/>
      <c r="M102" s="228"/>
      <c r="O102" s="228"/>
      <c r="P102" s="228"/>
      <c r="Q102" s="228"/>
      <c r="S102" s="228"/>
      <c r="T102" s="228"/>
      <c r="U102" s="228"/>
      <c r="W102" s="228"/>
      <c r="X102" s="228"/>
      <c r="Y102" s="228"/>
      <c r="AA102" s="228"/>
      <c r="AB102" s="228"/>
      <c r="AC102" s="228"/>
      <c r="AE102" s="228"/>
      <c r="AF102" s="228"/>
      <c r="AG102" s="228"/>
    </row>
    <row r="103" spans="2:33">
      <c r="D103" s="399"/>
      <c r="E103" s="399"/>
      <c r="F103" s="399"/>
      <c r="G103" s="399"/>
      <c r="H103" s="399"/>
      <c r="I103" s="399"/>
      <c r="J103" s="399"/>
      <c r="K103" s="399"/>
      <c r="L103" s="399"/>
      <c r="M103" s="399"/>
      <c r="O103" s="399"/>
      <c r="P103" s="399"/>
      <c r="Q103" s="399"/>
      <c r="S103" s="399"/>
      <c r="T103" s="399"/>
      <c r="U103" s="399"/>
      <c r="W103" s="399"/>
      <c r="X103" s="399"/>
      <c r="Y103" s="399"/>
      <c r="AA103" s="399"/>
      <c r="AB103" s="399"/>
      <c r="AC103" s="399"/>
      <c r="AE103" s="399"/>
      <c r="AF103" s="399"/>
      <c r="AG103" s="399"/>
    </row>
    <row r="104" spans="2:33">
      <c r="D104" s="399"/>
      <c r="E104" s="399"/>
      <c r="F104" s="399"/>
      <c r="G104" s="399"/>
      <c r="H104" s="399"/>
      <c r="I104" s="399"/>
      <c r="J104" s="399"/>
      <c r="K104" s="399"/>
      <c r="L104" s="399"/>
      <c r="M104" s="399"/>
      <c r="O104" s="399"/>
      <c r="P104" s="399"/>
      <c r="Q104" s="399"/>
      <c r="S104" s="399"/>
      <c r="T104" s="399"/>
      <c r="U104" s="399"/>
      <c r="W104" s="399"/>
      <c r="X104" s="399"/>
      <c r="Y104" s="399"/>
      <c r="AA104" s="399"/>
      <c r="AB104" s="399"/>
      <c r="AC104" s="399"/>
      <c r="AE104" s="399"/>
      <c r="AF104" s="399"/>
      <c r="AG104" s="399"/>
    </row>
  </sheetData>
  <mergeCells count="2">
    <mergeCell ref="B2:I4"/>
    <mergeCell ref="AE2:AL4"/>
  </mergeCells>
  <hyperlinks>
    <hyperlink ref="A2" location="'START PAGE'!A1" display="Back to start page" xr:uid="{00000000-0004-0000-0400-000000000000}"/>
  </hyperlinks>
  <pageMargins left="0.7" right="0.7" top="0.75" bottom="0.75" header="0.3" footer="0.3"/>
  <pageSetup paperSize="9" scale="47" orientation="landscape" r:id="rId1"/>
  <ignoredErrors>
    <ignoredError sqref="H7:H40 H43:H45 H58:H67 H48 H50:H5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C41B-6D2F-4670-B794-00771FC378D3}">
  <sheetPr codeName="Sheet17">
    <tabColor theme="0" tint="-0.499984740745262"/>
    <pageSetUpPr fitToPage="1"/>
  </sheetPr>
  <dimension ref="A1:FC78"/>
  <sheetViews>
    <sheetView showGridLines="0" zoomScaleNormal="100" zoomScaleSheetLayoutView="75" workbookViewId="0">
      <pane xSplit="1" ySplit="1" topLeftCell="B2" activePane="bottomRight" state="frozen"/>
      <selection activeCell="CX25" sqref="CX25"/>
      <selection pane="topRight" activeCell="CX25" sqref="CX25"/>
      <selection pane="bottomLeft" activeCell="CX25" sqref="CX25"/>
      <selection pane="bottomRight" activeCell="B2" sqref="B2"/>
    </sheetView>
  </sheetViews>
  <sheetFormatPr defaultColWidth="9" defaultRowHeight="10"/>
  <cols>
    <col min="1" max="1" width="47.33203125" style="1021" customWidth="1"/>
    <col min="2" max="16" width="7.58203125" style="1021" customWidth="1"/>
    <col min="17" max="17" width="7.58203125" style="1021" customWidth="1" collapsed="1"/>
    <col min="18" max="19" width="7.58203125" style="1021" customWidth="1"/>
    <col min="20" max="22" width="8.5" style="1021" customWidth="1"/>
    <col min="23" max="25" width="8" style="1021" customWidth="1"/>
    <col min="26" max="26" width="9" style="1021"/>
    <col min="27" max="27" width="18.58203125" style="1021" bestFit="1" customWidth="1"/>
    <col min="28" max="28" width="10.83203125" style="1021" bestFit="1" customWidth="1"/>
    <col min="29" max="29" width="8.83203125" style="1021" customWidth="1"/>
    <col min="30" max="30" width="11.33203125" style="1021" bestFit="1" customWidth="1"/>
    <col min="31" max="16384" width="9" style="1021"/>
  </cols>
  <sheetData>
    <row r="1" spans="1:30" s="42" customFormat="1" ht="10.5">
      <c r="A1" s="241" t="s">
        <v>1109</v>
      </c>
      <c r="B1" s="105"/>
      <c r="C1" s="105"/>
      <c r="D1" s="105"/>
      <c r="E1" s="105"/>
      <c r="F1" s="105"/>
      <c r="G1" s="105"/>
      <c r="H1" s="105"/>
      <c r="I1" s="105"/>
      <c r="J1" s="105"/>
      <c r="K1" s="105"/>
      <c r="L1" s="105"/>
      <c r="M1" s="104"/>
      <c r="N1" s="105"/>
      <c r="O1" s="105"/>
      <c r="P1" s="105"/>
      <c r="Q1" s="105"/>
      <c r="R1" s="105"/>
      <c r="S1" s="105"/>
      <c r="T1" s="105"/>
      <c r="U1" s="105"/>
      <c r="V1" s="105"/>
      <c r="W1" s="105"/>
      <c r="X1" s="105"/>
      <c r="Y1" s="105"/>
      <c r="Z1" s="105"/>
      <c r="AA1" s="105"/>
      <c r="AB1" s="105"/>
      <c r="AC1" s="105"/>
    </row>
    <row r="2" spans="1:30" s="1003" customFormat="1" ht="10.5">
      <c r="A2" s="241" t="s">
        <v>1108</v>
      </c>
      <c r="B2" s="105"/>
      <c r="C2" s="105"/>
      <c r="D2" s="105"/>
      <c r="E2" s="105"/>
      <c r="F2" s="105"/>
      <c r="G2" s="105"/>
      <c r="H2" s="105"/>
      <c r="I2" s="105"/>
      <c r="J2" s="105"/>
      <c r="K2" s="105"/>
      <c r="L2" s="105"/>
      <c r="M2" s="104"/>
      <c r="N2" s="105"/>
      <c r="O2" s="105"/>
      <c r="P2" s="105"/>
      <c r="Q2" s="105"/>
      <c r="R2" s="105"/>
      <c r="S2" s="105"/>
      <c r="T2" s="105"/>
      <c r="U2" s="105"/>
      <c r="V2" s="105"/>
      <c r="W2" s="105"/>
      <c r="X2" s="105"/>
      <c r="Y2" s="105"/>
      <c r="Z2" s="105"/>
      <c r="AA2" s="104">
        <f>AA16</f>
        <v>2015</v>
      </c>
      <c r="AB2" s="104">
        <f t="shared" ref="AB2:AC2" si="0">AB16</f>
        <v>2016</v>
      </c>
      <c r="AC2" s="104">
        <f t="shared" si="0"/>
        <v>2017</v>
      </c>
    </row>
    <row r="3" spans="1:30" s="1003" customFormat="1" ht="10.5">
      <c r="A3" s="1004" t="s">
        <v>13</v>
      </c>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6">
        <v>27551</v>
      </c>
      <c r="AB3" s="1006">
        <v>27634</v>
      </c>
      <c r="AC3" s="1006">
        <v>33831</v>
      </c>
    </row>
    <row r="4" spans="1:30" s="1003" customFormat="1" ht="10.5">
      <c r="A4" s="1004" t="s">
        <v>0</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6">
        <v>28663</v>
      </c>
      <c r="AB4" s="1006">
        <v>27102</v>
      </c>
      <c r="AC4" s="1006">
        <v>31364.2475184785</v>
      </c>
    </row>
    <row r="5" spans="1:30" s="1003" customFormat="1" ht="10.5">
      <c r="A5" s="1004" t="s">
        <v>6</v>
      </c>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6">
        <v>5175</v>
      </c>
      <c r="AB5" s="1006">
        <v>4548</v>
      </c>
      <c r="AC5" s="1006">
        <v>5930.0051558893001</v>
      </c>
    </row>
    <row r="6" spans="1:30" s="1003" customFormat="1" ht="10.5">
      <c r="A6" s="1004" t="s">
        <v>7</v>
      </c>
      <c r="B6" s="1005"/>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7">
        <f>AA5/AA4</f>
        <v>0.18054634895161009</v>
      </c>
      <c r="AB6" s="1007">
        <f t="shared" ref="AB6:AC6" si="1">AB5/AB4</f>
        <v>0.16781049369050255</v>
      </c>
      <c r="AC6" s="1007">
        <f t="shared" si="1"/>
        <v>0.18906894394311835</v>
      </c>
    </row>
    <row r="7" spans="1:30" s="1003" customFormat="1" ht="10.5">
      <c r="A7" s="1004" t="s">
        <v>1096</v>
      </c>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8">
        <v>-163</v>
      </c>
    </row>
    <row r="8" spans="1:30" s="1003" customFormat="1" ht="10.5">
      <c r="A8" s="1004" t="s">
        <v>1097</v>
      </c>
      <c r="B8" s="1005"/>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7">
        <f t="shared" ref="AA8:AB8" si="2">(AA5+AA7)/AA4</f>
        <v>0.18054634895161009</v>
      </c>
      <c r="AB8" s="1007">
        <f t="shared" si="2"/>
        <v>0.16781049369050255</v>
      </c>
      <c r="AC8" s="1007">
        <f>(AC5+AC7)/AC4</f>
        <v>0.18387194376308957</v>
      </c>
    </row>
    <row r="9" spans="1:30" s="1003" customFormat="1" ht="10.5">
      <c r="A9" s="241" t="s">
        <v>1110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09" t="s">
        <v>1111</v>
      </c>
    </row>
    <row r="10" spans="1:30" s="1003" customFormat="1" ht="10.5">
      <c r="A10" s="1004" t="s">
        <v>13</v>
      </c>
      <c r="B10" s="1005"/>
      <c r="C10" s="1005"/>
      <c r="D10" s="1005"/>
      <c r="E10" s="1005"/>
      <c r="F10" s="1005"/>
      <c r="G10" s="1005"/>
      <c r="H10" s="1005"/>
      <c r="I10" s="1005"/>
      <c r="J10" s="1005"/>
      <c r="K10" s="1005"/>
      <c r="L10" s="1005"/>
      <c r="M10" s="1005"/>
      <c r="N10" s="1005"/>
      <c r="O10" s="1005"/>
      <c r="P10" s="1005"/>
      <c r="Q10" s="1005"/>
      <c r="R10" s="1005"/>
      <c r="S10" s="1005"/>
      <c r="T10" s="1005"/>
      <c r="U10" s="1005"/>
      <c r="V10" s="1005"/>
      <c r="W10" s="1005"/>
      <c r="X10" s="1005"/>
      <c r="Y10" s="1005"/>
      <c r="Z10" s="1005"/>
      <c r="AA10" s="1006">
        <f>AA3-AA18</f>
        <v>1964</v>
      </c>
      <c r="AB10" s="1006">
        <f t="shared" ref="AB10:AC10" si="3">AB3-AB18</f>
        <v>2069</v>
      </c>
      <c r="AC10" s="1006">
        <f t="shared" si="3"/>
        <v>2358</v>
      </c>
      <c r="AD10" s="1010">
        <f>AC10/Segments!D7</f>
        <v>0.26063809146691747</v>
      </c>
    </row>
    <row r="11" spans="1:30" s="1003" customFormat="1" ht="10.5">
      <c r="A11" s="1004" t="s">
        <v>0</v>
      </c>
      <c r="B11" s="1005"/>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1005"/>
      <c r="Z11" s="1005"/>
      <c r="AA11" s="1006">
        <f>AA4-AA20</f>
        <v>1998</v>
      </c>
      <c r="AB11" s="1006">
        <f t="shared" ref="AB11:AC11" si="4">AB4-AB20</f>
        <v>2059</v>
      </c>
      <c r="AC11" s="1006">
        <f t="shared" si="4"/>
        <v>2198.2475184784998</v>
      </c>
      <c r="AD11" s="1010">
        <f>AC11/Segments!D21</f>
        <v>0.25157330264116501</v>
      </c>
    </row>
    <row r="12" spans="1:30" s="1003" customFormat="1" ht="10.5">
      <c r="A12" s="1004" t="s">
        <v>6</v>
      </c>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005"/>
      <c r="Y12" s="1005"/>
      <c r="Z12" s="1005"/>
      <c r="AA12" s="1011">
        <f>AA5-AA22</f>
        <v>182</v>
      </c>
      <c r="AB12" s="1011">
        <f t="shared" ref="AB12:AC12" si="5">AB5-AB22</f>
        <v>83</v>
      </c>
      <c r="AC12" s="1011">
        <f t="shared" si="5"/>
        <v>86.005155889300113</v>
      </c>
    </row>
    <row r="13" spans="1:30" s="1003" customFormat="1" ht="10.5">
      <c r="A13" s="1004" t="s">
        <v>7</v>
      </c>
      <c r="B13" s="1005"/>
      <c r="C13" s="1005"/>
      <c r="D13" s="1005"/>
      <c r="E13" s="1005"/>
      <c r="F13" s="1005"/>
      <c r="G13" s="1005"/>
      <c r="H13" s="1005"/>
      <c r="I13" s="1005"/>
      <c r="J13" s="1005"/>
      <c r="K13" s="1005"/>
      <c r="L13" s="1005"/>
      <c r="M13" s="1005"/>
      <c r="N13" s="1005"/>
      <c r="O13" s="1005"/>
      <c r="P13" s="1005"/>
      <c r="Q13" s="1005"/>
      <c r="R13" s="1005"/>
      <c r="S13" s="1005"/>
      <c r="T13" s="1005"/>
      <c r="U13" s="1005"/>
      <c r="V13" s="1005"/>
      <c r="W13" s="1005"/>
      <c r="X13" s="1005"/>
      <c r="Y13" s="1005"/>
      <c r="Z13" s="1005"/>
      <c r="AA13" s="1007">
        <f>AA12/AA11</f>
        <v>9.1091091091091092E-2</v>
      </c>
      <c r="AB13" s="1007">
        <f t="shared" ref="AB13:AC13" si="6">AB12/AB11</f>
        <v>4.0310830500242839E-2</v>
      </c>
      <c r="AC13" s="1007">
        <f t="shared" si="6"/>
        <v>3.9124418504440268E-2</v>
      </c>
    </row>
    <row r="14" spans="1:30" s="1003" customFormat="1" ht="10.5">
      <c r="A14" s="1004" t="s">
        <v>1096</v>
      </c>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v>0</v>
      </c>
      <c r="AB14" s="1008">
        <v>0</v>
      </c>
      <c r="AC14" s="1008">
        <v>0</v>
      </c>
    </row>
    <row r="15" spans="1:30" s="1003" customFormat="1" ht="10.5">
      <c r="A15" s="1004" t="s">
        <v>1097</v>
      </c>
      <c r="B15" s="1005"/>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12">
        <f>AA13</f>
        <v>9.1091091091091092E-2</v>
      </c>
      <c r="AB15" s="1012">
        <f t="shared" ref="AB15:AC15" si="7">AB13</f>
        <v>4.0310830500242839E-2</v>
      </c>
      <c r="AC15" s="1012">
        <f t="shared" si="7"/>
        <v>3.9124418504440268E-2</v>
      </c>
    </row>
    <row r="16" spans="1:30" s="1016" customFormat="1" ht="10.5">
      <c r="A16" s="1013" t="s">
        <v>1093</v>
      </c>
      <c r="B16" s="1014">
        <v>1990</v>
      </c>
      <c r="C16" s="1014">
        <v>1991</v>
      </c>
      <c r="D16" s="1014">
        <v>1992</v>
      </c>
      <c r="E16" s="1014">
        <v>1993</v>
      </c>
      <c r="F16" s="1014">
        <v>1994</v>
      </c>
      <c r="G16" s="1014">
        <v>1995</v>
      </c>
      <c r="H16" s="1014">
        <v>1996</v>
      </c>
      <c r="I16" s="1014">
        <v>1997</v>
      </c>
      <c r="J16" s="1014">
        <v>1998</v>
      </c>
      <c r="K16" s="1014">
        <v>1999</v>
      </c>
      <c r="L16" s="1014">
        <v>2000</v>
      </c>
      <c r="M16" s="1014">
        <v>2001</v>
      </c>
      <c r="N16" s="1014">
        <v>2002</v>
      </c>
      <c r="O16" s="1014">
        <v>2003</v>
      </c>
      <c r="P16" s="1014">
        <v>2004</v>
      </c>
      <c r="Q16" s="1014">
        <v>2005</v>
      </c>
      <c r="R16" s="1014">
        <v>2006</v>
      </c>
      <c r="S16" s="1014">
        <v>2007</v>
      </c>
      <c r="T16" s="1015">
        <v>2008</v>
      </c>
      <c r="U16" s="1015">
        <v>2009</v>
      </c>
      <c r="V16" s="1015">
        <v>2010</v>
      </c>
      <c r="W16" s="1015">
        <v>2011</v>
      </c>
      <c r="X16" s="1014">
        <v>2012</v>
      </c>
      <c r="Y16" s="1014">
        <v>2013</v>
      </c>
      <c r="Z16" s="1015">
        <v>2014</v>
      </c>
      <c r="AA16" s="1014">
        <v>2015</v>
      </c>
      <c r="AB16" s="1014">
        <v>2016</v>
      </c>
      <c r="AC16" s="1014">
        <v>2017</v>
      </c>
    </row>
    <row r="17" spans="1:33" ht="10.5">
      <c r="A17" s="1017" t="s">
        <v>13</v>
      </c>
      <c r="B17" s="891"/>
      <c r="C17" s="891"/>
      <c r="D17" s="891"/>
      <c r="E17" s="891"/>
      <c r="F17" s="891"/>
      <c r="G17" s="891"/>
      <c r="H17" s="891"/>
      <c r="I17" s="891"/>
      <c r="J17" s="891"/>
      <c r="K17" s="891"/>
      <c r="L17" s="891"/>
      <c r="M17" s="891"/>
      <c r="N17" s="891"/>
      <c r="O17" s="891"/>
      <c r="P17" s="891"/>
      <c r="Q17" s="891"/>
      <c r="R17" s="891"/>
      <c r="S17" s="891"/>
      <c r="T17" s="1018"/>
      <c r="U17" s="1018"/>
      <c r="V17" s="1018"/>
      <c r="W17" s="1018"/>
      <c r="X17" s="1018"/>
      <c r="Y17" s="1018"/>
      <c r="Z17" s="1018"/>
      <c r="AA17" s="1019"/>
      <c r="AB17" s="1020"/>
      <c r="AC17" s="1020"/>
      <c r="AD17" s="891"/>
      <c r="AE17" s="891"/>
      <c r="AF17" s="891"/>
      <c r="AG17" s="891"/>
    </row>
    <row r="18" spans="1:33">
      <c r="A18" s="891" t="s">
        <v>1095</v>
      </c>
      <c r="B18" s="891"/>
      <c r="C18" s="891"/>
      <c r="D18" s="891"/>
      <c r="E18" s="891"/>
      <c r="F18" s="891"/>
      <c r="G18" s="891"/>
      <c r="H18" s="891"/>
      <c r="I18" s="891"/>
      <c r="J18" s="891"/>
      <c r="K18" s="891"/>
      <c r="L18" s="891"/>
      <c r="M18" s="891"/>
      <c r="N18" s="891"/>
      <c r="O18" s="891"/>
      <c r="P18" s="891"/>
      <c r="Q18" s="891"/>
      <c r="R18" s="891"/>
      <c r="S18" s="891"/>
      <c r="T18" s="1022"/>
      <c r="U18" s="1022"/>
      <c r="V18" s="1022"/>
      <c r="W18" s="1022"/>
      <c r="X18" s="1022"/>
      <c r="Y18" s="1022"/>
      <c r="Z18" s="1022">
        <v>25752</v>
      </c>
      <c r="AA18" s="1022">
        <v>25587</v>
      </c>
      <c r="AB18" s="1022">
        <v>25565</v>
      </c>
      <c r="AC18" s="1022">
        <v>31473</v>
      </c>
      <c r="AD18" s="891"/>
      <c r="AE18" s="891"/>
      <c r="AF18" s="891"/>
      <c r="AG18" s="891"/>
    </row>
    <row r="19" spans="1:33" ht="10.5">
      <c r="A19" s="1017" t="s">
        <v>0</v>
      </c>
      <c r="B19" s="891"/>
      <c r="C19" s="891"/>
      <c r="D19" s="891"/>
      <c r="E19" s="891"/>
      <c r="F19" s="891"/>
      <c r="G19" s="892" t="s">
        <v>1094</v>
      </c>
      <c r="H19" s="891"/>
      <c r="I19" s="893"/>
      <c r="J19" s="891"/>
      <c r="K19" s="891"/>
      <c r="L19" s="892" t="s">
        <v>1094</v>
      </c>
      <c r="M19" s="891"/>
      <c r="N19" s="891"/>
      <c r="O19" s="891"/>
      <c r="P19" s="891"/>
      <c r="Q19" s="892" t="s">
        <v>1094</v>
      </c>
      <c r="R19" s="891"/>
      <c r="S19" s="891"/>
      <c r="T19" s="1023"/>
      <c r="V19" s="892" t="s">
        <v>1094</v>
      </c>
      <c r="W19" s="1023"/>
      <c r="X19" s="1023"/>
      <c r="Y19" s="1023"/>
      <c r="Z19" s="1023"/>
      <c r="AA19" s="1023"/>
      <c r="AB19" s="1023"/>
      <c r="AC19" s="1023"/>
    </row>
    <row r="20" spans="1:33">
      <c r="A20" s="891" t="s">
        <v>1095</v>
      </c>
      <c r="B20" s="891"/>
      <c r="C20" s="891"/>
      <c r="D20" s="891"/>
      <c r="E20" s="891"/>
      <c r="F20" s="1024"/>
      <c r="G20" s="1025"/>
      <c r="H20" s="891"/>
      <c r="I20" s="891"/>
      <c r="J20" s="891"/>
      <c r="K20" s="891"/>
      <c r="L20" s="891"/>
      <c r="M20" s="891"/>
      <c r="N20" s="891"/>
      <c r="O20" s="891"/>
      <c r="P20" s="891"/>
      <c r="Q20" s="891"/>
      <c r="R20" s="891"/>
      <c r="S20" s="891"/>
      <c r="T20" s="1022"/>
      <c r="U20" s="1022"/>
      <c r="V20" s="1022"/>
      <c r="W20" s="1022"/>
      <c r="X20" s="1022"/>
      <c r="Y20" s="1022"/>
      <c r="Z20" s="1026">
        <v>25718</v>
      </c>
      <c r="AA20" s="1026">
        <v>26665</v>
      </c>
      <c r="AB20" s="1026">
        <v>25043</v>
      </c>
      <c r="AC20" s="1022">
        <v>29166</v>
      </c>
    </row>
    <row r="21" spans="1:33" ht="10.5">
      <c r="A21" s="1017" t="s">
        <v>6</v>
      </c>
      <c r="B21" s="891"/>
      <c r="C21" s="891"/>
      <c r="D21" s="891"/>
      <c r="E21" s="891"/>
      <c r="F21" s="891"/>
      <c r="G21" s="891"/>
      <c r="H21" s="891"/>
      <c r="I21" s="891"/>
      <c r="J21" s="891"/>
      <c r="K21" s="891"/>
      <c r="L21" s="891"/>
      <c r="M21" s="891"/>
      <c r="N21" s="891"/>
      <c r="O21" s="891"/>
      <c r="P21" s="891"/>
      <c r="Q21" s="891"/>
      <c r="R21" s="891"/>
      <c r="S21" s="891"/>
      <c r="T21" s="1027"/>
      <c r="U21" s="1027"/>
      <c r="V21" s="1027"/>
      <c r="W21" s="1027"/>
      <c r="X21" s="1027"/>
      <c r="Y21" s="1028"/>
      <c r="Z21" s="1028"/>
      <c r="AA21" s="1028"/>
      <c r="AB21" s="1028"/>
      <c r="AC21" s="1028"/>
    </row>
    <row r="22" spans="1:33">
      <c r="A22" s="891" t="s">
        <v>1095</v>
      </c>
      <c r="B22" s="891"/>
      <c r="C22" s="891"/>
      <c r="D22" s="891"/>
      <c r="E22" s="891"/>
      <c r="F22" s="891"/>
      <c r="G22" s="891"/>
      <c r="H22" s="891"/>
      <c r="I22" s="891"/>
      <c r="J22" s="891"/>
      <c r="K22" s="891"/>
      <c r="L22" s="891"/>
      <c r="M22" s="891"/>
      <c r="N22" s="891"/>
      <c r="O22" s="891"/>
      <c r="P22" s="891"/>
      <c r="Q22" s="891"/>
      <c r="R22" s="891"/>
      <c r="S22" s="891"/>
      <c r="T22" s="1022"/>
      <c r="U22" s="1022"/>
      <c r="V22" s="1022"/>
      <c r="W22" s="1022"/>
      <c r="X22" s="1022"/>
      <c r="Y22" s="1022"/>
      <c r="Z22" s="1029">
        <v>4307</v>
      </c>
      <c r="AA22" s="1029">
        <v>4993</v>
      </c>
      <c r="AB22" s="1029">
        <v>4465</v>
      </c>
      <c r="AC22" s="1029">
        <v>5844</v>
      </c>
    </row>
    <row r="23" spans="1:33" ht="10.5">
      <c r="A23" s="1017" t="s">
        <v>7</v>
      </c>
      <c r="B23" s="891"/>
      <c r="C23" s="891"/>
      <c r="D23" s="891"/>
      <c r="E23" s="891"/>
      <c r="F23" s="891"/>
      <c r="G23" s="891"/>
      <c r="H23" s="891"/>
      <c r="I23" s="891"/>
      <c r="J23" s="891"/>
      <c r="K23" s="891"/>
      <c r="L23" s="891"/>
      <c r="M23" s="891"/>
      <c r="N23" s="891"/>
      <c r="O23" s="891"/>
      <c r="P23" s="891"/>
      <c r="Q23" s="891"/>
      <c r="R23" s="891"/>
      <c r="S23" s="891"/>
      <c r="T23" s="1022"/>
      <c r="U23" s="1022"/>
      <c r="V23" s="1022"/>
      <c r="W23" s="1022"/>
      <c r="X23" s="1022"/>
      <c r="Y23" s="1022"/>
      <c r="Z23" s="1022"/>
      <c r="AA23" s="1022"/>
      <c r="AB23" s="1022"/>
      <c r="AC23" s="1022"/>
    </row>
    <row r="24" spans="1:33">
      <c r="A24" s="891" t="s">
        <v>1095</v>
      </c>
      <c r="B24" s="891"/>
      <c r="C24" s="891"/>
      <c r="D24" s="891"/>
      <c r="E24" s="891"/>
      <c r="F24" s="891"/>
      <c r="G24" s="891"/>
      <c r="H24" s="891"/>
      <c r="I24" s="891"/>
      <c r="J24" s="891"/>
      <c r="K24" s="891"/>
      <c r="L24" s="891"/>
      <c r="M24" s="891"/>
      <c r="N24" s="891"/>
      <c r="O24" s="891"/>
      <c r="P24" s="891"/>
      <c r="Q24" s="891"/>
      <c r="R24" s="891"/>
      <c r="S24" s="891"/>
      <c r="T24" s="1030"/>
      <c r="U24" s="1030"/>
      <c r="V24" s="1030"/>
      <c r="W24" s="1030"/>
      <c r="X24" s="1030"/>
      <c r="Y24" s="1030"/>
      <c r="Z24" s="1031">
        <v>0.16747025429660159</v>
      </c>
      <c r="AA24" s="1031">
        <v>0.18724920307519219</v>
      </c>
      <c r="AB24" s="1031">
        <v>0.17829333546300363</v>
      </c>
      <c r="AC24" s="1031">
        <v>0.20037029417815264</v>
      </c>
    </row>
    <row r="25" spans="1:33" ht="10.5">
      <c r="A25" s="1032" t="s">
        <v>1096</v>
      </c>
      <c r="B25" s="892"/>
      <c r="C25" s="892"/>
      <c r="D25" s="892"/>
      <c r="E25" s="892"/>
      <c r="F25" s="892"/>
      <c r="G25" s="892"/>
      <c r="H25" s="892"/>
      <c r="I25" s="892"/>
      <c r="J25" s="892"/>
      <c r="K25" s="892"/>
      <c r="L25" s="892"/>
      <c r="M25" s="892"/>
      <c r="N25" s="892"/>
      <c r="O25" s="892"/>
      <c r="P25" s="892"/>
      <c r="Q25" s="892"/>
      <c r="R25" s="892"/>
      <c r="S25" s="892"/>
      <c r="T25" s="892"/>
      <c r="U25" s="892"/>
      <c r="V25" s="892"/>
      <c r="W25" s="892"/>
      <c r="X25" s="892"/>
      <c r="Y25" s="892"/>
      <c r="Z25" s="892">
        <v>-729</v>
      </c>
      <c r="AA25" s="892">
        <v>-359</v>
      </c>
      <c r="AB25" s="892">
        <v>-264</v>
      </c>
      <c r="AC25" s="892">
        <v>-749</v>
      </c>
    </row>
    <row r="26" spans="1:33">
      <c r="A26" s="891" t="s">
        <v>1095</v>
      </c>
      <c r="B26" s="891"/>
      <c r="C26" s="891"/>
      <c r="D26" s="891"/>
      <c r="E26" s="891"/>
      <c r="F26" s="891"/>
      <c r="G26" s="891"/>
      <c r="H26" s="891"/>
      <c r="I26" s="891"/>
      <c r="J26" s="891"/>
      <c r="K26" s="891"/>
      <c r="L26" s="891"/>
      <c r="M26" s="891"/>
      <c r="N26" s="891"/>
      <c r="O26" s="891"/>
      <c r="P26" s="891"/>
      <c r="Q26" s="891"/>
      <c r="R26" s="891"/>
      <c r="S26" s="891"/>
      <c r="T26" s="1022"/>
      <c r="U26" s="1022"/>
      <c r="V26" s="1022"/>
      <c r="W26" s="1022"/>
      <c r="X26" s="1022"/>
      <c r="Y26" s="1022"/>
      <c r="Z26" s="892">
        <v>-415</v>
      </c>
      <c r="AA26" s="892">
        <v>-65</v>
      </c>
      <c r="AB26" s="892">
        <v>0</v>
      </c>
      <c r="AC26" s="892">
        <v>0</v>
      </c>
      <c r="AD26" s="891"/>
      <c r="AE26" s="891"/>
      <c r="AF26" s="891"/>
      <c r="AG26" s="891"/>
    </row>
    <row r="27" spans="1:33" ht="10.5">
      <c r="A27" s="1017" t="s">
        <v>1097</v>
      </c>
      <c r="B27" s="891"/>
      <c r="C27" s="891"/>
      <c r="D27" s="891"/>
      <c r="E27" s="891"/>
      <c r="F27" s="891"/>
      <c r="G27" s="891"/>
      <c r="H27" s="891"/>
      <c r="I27" s="891"/>
      <c r="J27" s="891"/>
      <c r="K27" s="891"/>
      <c r="L27" s="891"/>
      <c r="M27" s="891"/>
      <c r="N27" s="891"/>
      <c r="O27" s="891"/>
      <c r="P27" s="891"/>
      <c r="Q27" s="891"/>
      <c r="R27" s="891"/>
      <c r="S27" s="891"/>
      <c r="T27" s="1023"/>
      <c r="U27" s="1023"/>
      <c r="V27" s="1023"/>
      <c r="W27" s="1023"/>
      <c r="X27" s="1023"/>
      <c r="Y27" s="1023"/>
      <c r="Z27" s="1023"/>
      <c r="AA27" s="1023"/>
      <c r="AB27" s="1023"/>
      <c r="AC27" s="1023"/>
      <c r="AD27" s="891"/>
      <c r="AE27" s="891"/>
      <c r="AF27" s="891"/>
      <c r="AG27" s="891"/>
    </row>
    <row r="28" spans="1:33">
      <c r="A28" s="891" t="s">
        <v>1095</v>
      </c>
      <c r="B28" s="891"/>
      <c r="C28" s="891"/>
      <c r="D28" s="891"/>
      <c r="E28" s="891"/>
      <c r="F28" s="891"/>
      <c r="G28" s="891"/>
      <c r="H28" s="891"/>
      <c r="I28" s="891"/>
      <c r="J28" s="891"/>
      <c r="K28" s="891"/>
      <c r="L28" s="891"/>
      <c r="M28" s="891"/>
      <c r="N28" s="891"/>
      <c r="O28" s="891"/>
      <c r="P28" s="891"/>
      <c r="Q28" s="891"/>
      <c r="R28" s="891"/>
      <c r="S28" s="891"/>
      <c r="T28" s="1030"/>
      <c r="U28" s="1030"/>
      <c r="V28" s="1030"/>
      <c r="W28" s="1030"/>
      <c r="X28" s="1030"/>
      <c r="Y28" s="1030"/>
      <c r="Z28" s="1030">
        <v>0.18360681234932733</v>
      </c>
      <c r="AA28" s="1030">
        <v>0.18968685542846428</v>
      </c>
      <c r="AB28" s="1030">
        <v>0.17829333546300363</v>
      </c>
      <c r="AC28" s="1030">
        <v>0.20037029417815264</v>
      </c>
      <c r="AD28" s="891"/>
      <c r="AE28" s="891"/>
      <c r="AF28" s="891"/>
      <c r="AG28" s="891"/>
    </row>
    <row r="29" spans="1:33" s="1016" customFormat="1" ht="10.5">
      <c r="A29" s="1013" t="s">
        <v>1098</v>
      </c>
      <c r="B29" s="1013"/>
      <c r="C29" s="1013"/>
      <c r="D29" s="1013"/>
      <c r="E29" s="1013"/>
      <c r="F29" s="1013"/>
      <c r="G29" s="1013"/>
      <c r="H29" s="1013"/>
      <c r="I29" s="1013"/>
      <c r="J29" s="1013"/>
      <c r="K29" s="1013"/>
      <c r="L29" s="1013"/>
      <c r="M29" s="1013"/>
      <c r="N29" s="1013"/>
      <c r="O29" s="1013"/>
      <c r="P29" s="1013"/>
      <c r="Q29" s="1013"/>
      <c r="R29" s="1013"/>
      <c r="S29" s="1013"/>
      <c r="T29" s="1033"/>
      <c r="U29" s="1033"/>
      <c r="V29" s="1033"/>
      <c r="W29" s="1033"/>
      <c r="X29" s="1033"/>
      <c r="Y29" s="1013"/>
      <c r="Z29" s="1033"/>
      <c r="AA29" s="1013"/>
      <c r="AB29" s="1013"/>
      <c r="AC29" s="1013"/>
    </row>
    <row r="30" spans="1:33" s="1036" customFormat="1" ht="10.5">
      <c r="A30" s="1034"/>
      <c r="B30" s="1013"/>
      <c r="C30" s="1013"/>
      <c r="D30" s="1013"/>
      <c r="E30" s="1013"/>
      <c r="F30" s="1013"/>
      <c r="G30" s="1013"/>
      <c r="H30" s="1013"/>
      <c r="I30" s="1013"/>
      <c r="J30" s="1013"/>
      <c r="K30" s="1013"/>
      <c r="L30" s="1013"/>
      <c r="M30" s="1013"/>
      <c r="N30" s="1013"/>
      <c r="O30" s="1013"/>
      <c r="P30" s="1013"/>
      <c r="Q30" s="1013"/>
      <c r="R30" s="1013"/>
      <c r="S30" s="1013"/>
      <c r="T30" s="1033"/>
      <c r="U30" s="1033"/>
      <c r="V30" s="1033"/>
      <c r="W30" s="1013"/>
      <c r="X30" s="1035" t="s">
        <v>1099</v>
      </c>
      <c r="Y30" s="1013"/>
      <c r="Z30" s="1013"/>
      <c r="AA30" s="1014" t="s">
        <v>1100</v>
      </c>
      <c r="AB30" s="1013"/>
      <c r="AC30" s="1013"/>
    </row>
    <row r="31" spans="1:33" s="1040" customFormat="1" ht="10.5">
      <c r="A31" s="1037"/>
      <c r="B31" s="1038"/>
      <c r="C31" s="1038"/>
      <c r="D31" s="1038"/>
      <c r="E31" s="1038"/>
      <c r="F31" s="1038"/>
      <c r="G31" s="1038"/>
      <c r="H31" s="1038"/>
      <c r="I31" s="1038"/>
      <c r="J31" s="1038"/>
      <c r="K31" s="1038"/>
      <c r="L31" s="1038"/>
      <c r="M31" s="1038"/>
      <c r="N31" s="1038"/>
      <c r="O31" s="1038"/>
      <c r="P31" s="1038"/>
      <c r="Q31" s="1038"/>
      <c r="R31" s="1038"/>
      <c r="S31" s="1038"/>
      <c r="T31" s="1039"/>
      <c r="U31" s="1038"/>
      <c r="V31" s="1038"/>
      <c r="W31" s="1038"/>
      <c r="X31" s="1038"/>
      <c r="Y31" s="1038"/>
      <c r="Z31" s="1038"/>
      <c r="AA31" s="1038"/>
      <c r="AB31" s="1038"/>
      <c r="AC31" s="1038"/>
    </row>
    <row r="32" spans="1:33" s="1003" customFormat="1" ht="10.5">
      <c r="A32" s="1004" t="s">
        <v>207</v>
      </c>
      <c r="B32" s="1005">
        <v>1990</v>
      </c>
      <c r="C32" s="1005">
        <v>1991</v>
      </c>
      <c r="D32" s="1005">
        <v>1992</v>
      </c>
      <c r="E32" s="1005">
        <v>1993</v>
      </c>
      <c r="F32" s="1005">
        <v>1994</v>
      </c>
      <c r="G32" s="1005">
        <v>1995</v>
      </c>
      <c r="H32" s="1005">
        <v>1996</v>
      </c>
      <c r="I32" s="1005">
        <v>1997</v>
      </c>
      <c r="J32" s="1005">
        <v>1998</v>
      </c>
      <c r="K32" s="1005">
        <v>1999</v>
      </c>
      <c r="L32" s="1005">
        <v>2000</v>
      </c>
      <c r="M32" s="1005">
        <v>2001</v>
      </c>
      <c r="N32" s="1005">
        <v>2002</v>
      </c>
      <c r="O32" s="1005">
        <v>2003</v>
      </c>
      <c r="P32" s="1005">
        <v>2004</v>
      </c>
      <c r="Q32" s="1005">
        <v>2005</v>
      </c>
      <c r="R32" s="1005">
        <v>2006</v>
      </c>
      <c r="S32" s="1005">
        <v>2007</v>
      </c>
      <c r="T32" s="1005">
        <v>2008</v>
      </c>
      <c r="U32" s="1005">
        <v>2009</v>
      </c>
      <c r="V32" s="1005">
        <v>2010</v>
      </c>
      <c r="W32" s="1005">
        <v>2011</v>
      </c>
      <c r="X32" s="1005">
        <v>2012</v>
      </c>
      <c r="Y32" s="1005">
        <v>2013</v>
      </c>
      <c r="Z32" s="1005">
        <v>2014</v>
      </c>
      <c r="AA32" s="1005">
        <v>2015</v>
      </c>
      <c r="AB32" s="1005">
        <v>2016</v>
      </c>
      <c r="AC32" s="1005"/>
    </row>
    <row r="33" spans="1:29" ht="10.5">
      <c r="A33" s="1017" t="s">
        <v>13</v>
      </c>
      <c r="B33" s="891"/>
      <c r="C33" s="891"/>
      <c r="D33" s="891"/>
      <c r="E33" s="891"/>
      <c r="F33" s="891"/>
      <c r="G33" s="891"/>
      <c r="H33" s="891"/>
      <c r="I33" s="891"/>
      <c r="J33" s="891"/>
      <c r="K33" s="891"/>
      <c r="L33" s="891"/>
      <c r="M33" s="891"/>
      <c r="N33" s="891"/>
      <c r="O33" s="891"/>
      <c r="P33" s="891"/>
      <c r="Q33" s="891"/>
      <c r="R33" s="891"/>
      <c r="S33" s="891"/>
      <c r="T33" s="1018"/>
      <c r="U33" s="1018"/>
      <c r="V33" s="1018"/>
      <c r="W33" s="1018"/>
      <c r="X33" s="1018"/>
      <c r="Y33" s="1018"/>
      <c r="Z33" s="1018"/>
      <c r="AA33" s="1019"/>
      <c r="AB33" s="1020"/>
      <c r="AC33" s="1020"/>
    </row>
    <row r="34" spans="1:29">
      <c r="A34" s="891" t="s">
        <v>1095</v>
      </c>
      <c r="B34" s="891"/>
      <c r="C34" s="891"/>
      <c r="D34" s="891"/>
      <c r="E34" s="891"/>
      <c r="F34" s="891"/>
      <c r="G34" s="891"/>
      <c r="H34" s="891"/>
      <c r="I34" s="891"/>
      <c r="J34" s="891"/>
      <c r="K34" s="891"/>
      <c r="L34" s="891"/>
      <c r="M34" s="891"/>
      <c r="N34" s="891"/>
      <c r="O34" s="891"/>
      <c r="P34" s="891"/>
      <c r="Q34" s="891"/>
      <c r="R34" s="891"/>
      <c r="S34" s="891"/>
      <c r="T34" s="1022">
        <v>23405</v>
      </c>
      <c r="U34" s="1022">
        <v>17533</v>
      </c>
      <c r="V34" s="1022">
        <v>26356</v>
      </c>
      <c r="W34" s="1022">
        <v>31751</v>
      </c>
      <c r="X34" s="1022">
        <v>33482</v>
      </c>
      <c r="Y34" s="1022">
        <v>26092</v>
      </c>
      <c r="Z34" s="1022">
        <v>25752</v>
      </c>
      <c r="AA34" s="1022">
        <v>25587</v>
      </c>
      <c r="AB34" s="1022">
        <v>25565</v>
      </c>
      <c r="AC34" s="1022"/>
    </row>
    <row r="35" spans="1:29">
      <c r="A35" s="891" t="s">
        <v>1101</v>
      </c>
      <c r="B35" s="891"/>
      <c r="C35" s="891"/>
      <c r="D35" s="891"/>
      <c r="E35" s="891"/>
      <c r="F35" s="891"/>
      <c r="G35" s="891"/>
      <c r="H35" s="891"/>
      <c r="I35" s="891"/>
      <c r="J35" s="891"/>
      <c r="K35" s="891"/>
      <c r="L35" s="891"/>
      <c r="M35" s="891"/>
      <c r="N35" s="891"/>
      <c r="O35" s="891"/>
      <c r="P35" s="891"/>
      <c r="Q35" s="891"/>
      <c r="R35" s="891"/>
      <c r="S35" s="891"/>
      <c r="T35" s="1022">
        <v>12016</v>
      </c>
      <c r="U35" s="1022">
        <v>9843</v>
      </c>
      <c r="V35" s="1022">
        <v>12534</v>
      </c>
      <c r="W35" s="1022">
        <v>12786</v>
      </c>
      <c r="X35" s="1022">
        <v>14607</v>
      </c>
      <c r="Y35" s="1022">
        <v>14260</v>
      </c>
      <c r="Z35" s="1022">
        <v>14847</v>
      </c>
      <c r="AA35" s="1022">
        <v>11927</v>
      </c>
      <c r="AB35" s="1022">
        <v>12110</v>
      </c>
      <c r="AC35" s="1022"/>
    </row>
    <row r="36" spans="1:29" ht="10.5">
      <c r="A36" s="1017" t="s">
        <v>0</v>
      </c>
      <c r="B36" s="891"/>
      <c r="C36" s="891"/>
      <c r="D36" s="891"/>
      <c r="E36" s="891"/>
      <c r="F36" s="891"/>
      <c r="G36" s="892" t="s">
        <v>1094</v>
      </c>
      <c r="H36" s="891"/>
      <c r="I36" s="893"/>
      <c r="J36" s="891"/>
      <c r="K36" s="891"/>
      <c r="L36" s="892" t="s">
        <v>1094</v>
      </c>
      <c r="M36" s="891"/>
      <c r="N36" s="891"/>
      <c r="O36" s="891"/>
      <c r="P36" s="891"/>
      <c r="Q36" s="892" t="s">
        <v>1094</v>
      </c>
      <c r="R36" s="891"/>
      <c r="S36" s="891"/>
      <c r="T36" s="1023"/>
      <c r="U36" s="1023"/>
      <c r="V36" s="1023"/>
      <c r="W36" s="1023"/>
      <c r="X36" s="1023"/>
      <c r="Y36" s="1023"/>
      <c r="Z36" s="1023"/>
      <c r="AA36" s="1023"/>
      <c r="AB36" s="1023"/>
      <c r="AC36" s="1023"/>
    </row>
    <row r="37" spans="1:29">
      <c r="A37" s="891" t="s">
        <v>1095</v>
      </c>
      <c r="B37" s="891"/>
      <c r="C37" s="891"/>
      <c r="D37" s="891"/>
      <c r="E37" s="891"/>
      <c r="F37" s="1024"/>
      <c r="G37" s="1025"/>
      <c r="H37" s="891"/>
      <c r="I37" s="891"/>
      <c r="J37" s="891"/>
      <c r="K37" s="891"/>
      <c r="L37" s="891"/>
      <c r="M37" s="891"/>
      <c r="N37" s="891"/>
      <c r="O37" s="891"/>
      <c r="P37" s="891"/>
      <c r="Q37" s="891"/>
      <c r="R37" s="891"/>
      <c r="S37" s="891"/>
      <c r="T37" s="1022">
        <v>24010</v>
      </c>
      <c r="U37" s="1022">
        <v>20202</v>
      </c>
      <c r="V37" s="1022">
        <v>22520</v>
      </c>
      <c r="W37" s="1022">
        <v>29356</v>
      </c>
      <c r="X37" s="1022">
        <v>34054</v>
      </c>
      <c r="Y37" s="1022">
        <v>29013</v>
      </c>
      <c r="Z37" s="1022">
        <v>25718</v>
      </c>
      <c r="AA37" s="1022">
        <v>26665</v>
      </c>
      <c r="AB37" s="1022">
        <v>25043</v>
      </c>
      <c r="AC37" s="1022"/>
    </row>
    <row r="38" spans="1:29">
      <c r="A38" s="891" t="s">
        <v>1101</v>
      </c>
      <c r="B38" s="891"/>
      <c r="C38" s="891"/>
      <c r="D38" s="891"/>
      <c r="E38" s="891"/>
      <c r="F38" s="1024"/>
      <c r="G38" s="1025"/>
      <c r="H38" s="891"/>
      <c r="I38" s="891"/>
      <c r="J38" s="891"/>
      <c r="K38" s="891"/>
      <c r="L38" s="891"/>
      <c r="M38" s="891"/>
      <c r="N38" s="891"/>
      <c r="O38" s="891"/>
      <c r="P38" s="891"/>
      <c r="Q38" s="891"/>
      <c r="R38" s="891"/>
      <c r="S38" s="891"/>
      <c r="T38" s="1022">
        <v>13126</v>
      </c>
      <c r="U38" s="1022">
        <v>9627</v>
      </c>
      <c r="V38" s="1022">
        <v>11485</v>
      </c>
      <c r="W38" s="1022">
        <v>12918</v>
      </c>
      <c r="X38" s="1022">
        <v>14658</v>
      </c>
      <c r="Y38" s="1022">
        <v>13967</v>
      </c>
      <c r="Z38" s="1022">
        <v>14739</v>
      </c>
      <c r="AA38" s="1022">
        <v>12112</v>
      </c>
      <c r="AB38" s="1022">
        <v>11794</v>
      </c>
      <c r="AC38" s="1022"/>
    </row>
    <row r="39" spans="1:29" ht="10.5">
      <c r="A39" s="1017" t="s">
        <v>6</v>
      </c>
      <c r="B39" s="891"/>
      <c r="C39" s="891"/>
      <c r="D39" s="891"/>
      <c r="E39" s="891"/>
      <c r="F39" s="891"/>
      <c r="G39" s="891"/>
      <c r="H39" s="891"/>
      <c r="I39" s="891"/>
      <c r="J39" s="891"/>
      <c r="K39" s="891"/>
      <c r="L39" s="891"/>
      <c r="M39" s="891"/>
      <c r="N39" s="891"/>
      <c r="O39" s="891"/>
      <c r="P39" s="891"/>
      <c r="Q39" s="891"/>
      <c r="R39" s="891"/>
      <c r="S39" s="891"/>
      <c r="T39" s="1027"/>
      <c r="U39" s="1027"/>
      <c r="V39" s="1027"/>
      <c r="W39" s="1027"/>
      <c r="X39" s="1027"/>
      <c r="Y39" s="1028"/>
      <c r="Z39" s="1028"/>
      <c r="AA39" s="1028"/>
      <c r="AB39" s="1028"/>
      <c r="AC39" s="1028"/>
    </row>
    <row r="40" spans="1:29">
      <c r="A40" s="891" t="s">
        <v>1095</v>
      </c>
      <c r="B40" s="891"/>
      <c r="C40" s="891"/>
      <c r="D40" s="891"/>
      <c r="E40" s="891"/>
      <c r="F40" s="891"/>
      <c r="G40" s="891"/>
      <c r="H40" s="891"/>
      <c r="I40" s="891"/>
      <c r="J40" s="891"/>
      <c r="K40" s="891"/>
      <c r="L40" s="891"/>
      <c r="M40" s="891"/>
      <c r="N40" s="891"/>
      <c r="O40" s="891"/>
      <c r="P40" s="891"/>
      <c r="Q40" s="891"/>
      <c r="R40" s="891"/>
      <c r="S40" s="891"/>
      <c r="T40" s="1022">
        <v>4923</v>
      </c>
      <c r="U40" s="1022">
        <v>3591</v>
      </c>
      <c r="V40" s="1022">
        <v>4919</v>
      </c>
      <c r="W40" s="1022">
        <v>7196</v>
      </c>
      <c r="X40" s="1022">
        <v>8335</v>
      </c>
      <c r="Y40" s="1022">
        <v>6083</v>
      </c>
      <c r="Z40" s="1022">
        <v>4307</v>
      </c>
      <c r="AA40" s="1022">
        <v>4993</v>
      </c>
      <c r="AB40" s="1022">
        <v>4465</v>
      </c>
      <c r="AC40" s="1022"/>
    </row>
    <row r="41" spans="1:29">
      <c r="A41" s="891" t="s">
        <v>1101</v>
      </c>
      <c r="B41" s="891"/>
      <c r="C41" s="891"/>
      <c r="D41" s="891"/>
      <c r="E41" s="891"/>
      <c r="F41" s="891"/>
      <c r="G41" s="891"/>
      <c r="H41" s="891"/>
      <c r="I41" s="891"/>
      <c r="J41" s="891"/>
      <c r="K41" s="891"/>
      <c r="L41" s="891"/>
      <c r="M41" s="891"/>
      <c r="N41" s="891"/>
      <c r="O41" s="891"/>
      <c r="P41" s="891"/>
      <c r="Q41" s="891"/>
      <c r="R41" s="891"/>
      <c r="S41" s="891"/>
      <c r="T41" s="1022">
        <v>1643</v>
      </c>
      <c r="U41" s="1022">
        <v>395</v>
      </c>
      <c r="V41" s="1022">
        <v>1218</v>
      </c>
      <c r="W41" s="1022">
        <v>1460</v>
      </c>
      <c r="X41" s="1022">
        <v>1825</v>
      </c>
      <c r="Y41" s="1022">
        <v>1733</v>
      </c>
      <c r="Z41" s="1022">
        <v>1768</v>
      </c>
      <c r="AA41" s="1022">
        <v>1883</v>
      </c>
      <c r="AB41" s="1022">
        <v>1769</v>
      </c>
      <c r="AC41" s="1022"/>
    </row>
    <row r="42" spans="1:29" ht="10.5">
      <c r="A42" s="1017" t="s">
        <v>7</v>
      </c>
      <c r="B42" s="891"/>
      <c r="C42" s="891"/>
      <c r="D42" s="891"/>
      <c r="E42" s="891"/>
      <c r="F42" s="891"/>
      <c r="G42" s="891"/>
      <c r="H42" s="891"/>
      <c r="I42" s="891"/>
      <c r="J42" s="891"/>
      <c r="K42" s="891"/>
      <c r="L42" s="891"/>
      <c r="M42" s="891"/>
      <c r="N42" s="891"/>
      <c r="O42" s="891"/>
      <c r="P42" s="891"/>
      <c r="Q42" s="891"/>
      <c r="R42" s="891"/>
      <c r="S42" s="891"/>
      <c r="T42" s="1022"/>
      <c r="U42" s="1022"/>
      <c r="V42" s="1022"/>
      <c r="W42" s="1022"/>
      <c r="X42" s="1022"/>
      <c r="Y42" s="1022"/>
      <c r="Z42" s="1022"/>
      <c r="AA42" s="1022"/>
      <c r="AB42" s="1022"/>
      <c r="AC42" s="1022"/>
    </row>
    <row r="43" spans="1:29">
      <c r="A43" s="891" t="s">
        <v>1095</v>
      </c>
      <c r="B43" s="891"/>
      <c r="C43" s="891"/>
      <c r="D43" s="891"/>
      <c r="E43" s="891"/>
      <c r="F43" s="891"/>
      <c r="G43" s="891"/>
      <c r="H43" s="891"/>
      <c r="I43" s="891"/>
      <c r="J43" s="891"/>
      <c r="K43" s="891"/>
      <c r="L43" s="891"/>
      <c r="M43" s="891"/>
      <c r="N43" s="891"/>
      <c r="O43" s="891"/>
      <c r="P43" s="891"/>
      <c r="Q43" s="891"/>
      <c r="R43" s="891"/>
      <c r="S43" s="891"/>
      <c r="T43" s="1030">
        <v>0.20503956684714703</v>
      </c>
      <c r="U43" s="1030">
        <v>0.17775467775467776</v>
      </c>
      <c r="V43" s="1030">
        <v>0.21842806394316164</v>
      </c>
      <c r="W43" s="1030">
        <v>0.24512876413680337</v>
      </c>
      <c r="X43" s="1030">
        <v>0.24475832501321432</v>
      </c>
      <c r="Y43" s="1030">
        <v>0.20966463309550892</v>
      </c>
      <c r="Z43" s="1030">
        <v>0.16747025429660159</v>
      </c>
      <c r="AA43" s="1030">
        <v>0.18724920307519219</v>
      </c>
      <c r="AB43" s="1030">
        <v>0.17829333546300363</v>
      </c>
      <c r="AC43" s="1030"/>
    </row>
    <row r="44" spans="1:29">
      <c r="A44" s="891" t="s">
        <v>1101</v>
      </c>
      <c r="B44" s="891"/>
      <c r="C44" s="891"/>
      <c r="D44" s="891"/>
      <c r="E44" s="891"/>
      <c r="F44" s="891"/>
      <c r="G44" s="891"/>
      <c r="H44" s="891"/>
      <c r="I44" s="891"/>
      <c r="J44" s="891"/>
      <c r="K44" s="891"/>
      <c r="L44" s="891"/>
      <c r="M44" s="891"/>
      <c r="N44" s="891"/>
      <c r="O44" s="891"/>
      <c r="P44" s="891"/>
      <c r="Q44" s="891"/>
      <c r="R44" s="891"/>
      <c r="S44" s="891"/>
      <c r="T44" s="1030">
        <v>0.12517141551119915</v>
      </c>
      <c r="U44" s="1030">
        <v>4.1030435234237043E-2</v>
      </c>
      <c r="V44" s="1030">
        <v>0.10605137135393992</v>
      </c>
      <c r="W44" s="1030">
        <v>0.11302059142282087</v>
      </c>
      <c r="X44" s="1030">
        <v>0.1245053895483695</v>
      </c>
      <c r="Y44" s="1030">
        <v>0.12407818429154435</v>
      </c>
      <c r="Z44" s="1030">
        <v>0.11995386389850057</v>
      </c>
      <c r="AA44" s="1030">
        <v>0.15546565389696168</v>
      </c>
      <c r="AB44" s="1030">
        <v>0.15007630998812957</v>
      </c>
      <c r="AC44" s="1030"/>
    </row>
    <row r="45" spans="1:29" ht="10.5">
      <c r="A45" s="1032" t="s">
        <v>1096</v>
      </c>
      <c r="B45" s="892"/>
      <c r="C45" s="892"/>
      <c r="D45" s="892"/>
      <c r="E45" s="892"/>
      <c r="F45" s="892"/>
      <c r="G45" s="892"/>
      <c r="H45" s="892"/>
      <c r="I45" s="892"/>
      <c r="J45" s="892"/>
      <c r="K45" s="892"/>
      <c r="L45" s="892"/>
      <c r="M45" s="892"/>
      <c r="N45" s="892"/>
      <c r="O45" s="892"/>
      <c r="P45" s="892"/>
      <c r="Q45" s="892"/>
      <c r="R45" s="892"/>
      <c r="S45" s="892"/>
      <c r="T45" s="892">
        <v>-292</v>
      </c>
      <c r="U45" s="892">
        <v>-569</v>
      </c>
      <c r="V45" s="892">
        <v>-394</v>
      </c>
      <c r="W45" s="892">
        <v>-160</v>
      </c>
      <c r="X45" s="892">
        <v>-182</v>
      </c>
      <c r="Y45" s="892">
        <v>63</v>
      </c>
      <c r="Z45" s="892">
        <v>-729</v>
      </c>
      <c r="AA45" s="892">
        <v>-359</v>
      </c>
      <c r="AB45" s="892">
        <v>-264</v>
      </c>
      <c r="AC45" s="892"/>
    </row>
    <row r="46" spans="1:29">
      <c r="A46" s="891" t="s">
        <v>1095</v>
      </c>
      <c r="B46" s="891"/>
      <c r="C46" s="891"/>
      <c r="D46" s="891"/>
      <c r="E46" s="891"/>
      <c r="F46" s="891"/>
      <c r="G46" s="891"/>
      <c r="H46" s="891"/>
      <c r="I46" s="891"/>
      <c r="J46" s="891"/>
      <c r="K46" s="891"/>
      <c r="L46" s="891"/>
      <c r="M46" s="891"/>
      <c r="N46" s="891"/>
      <c r="O46" s="891"/>
      <c r="P46" s="891"/>
      <c r="Q46" s="891"/>
      <c r="R46" s="891"/>
      <c r="S46" s="891"/>
      <c r="T46" s="1022">
        <v>-59</v>
      </c>
      <c r="U46" s="1022">
        <v>-81</v>
      </c>
      <c r="V46" s="1022"/>
      <c r="W46" s="1022"/>
      <c r="X46" s="1022"/>
      <c r="Y46" s="1022">
        <v>-120</v>
      </c>
      <c r="Z46" s="1022">
        <v>-415</v>
      </c>
      <c r="AA46" s="1022">
        <v>-65</v>
      </c>
      <c r="AB46" s="1022">
        <v>0</v>
      </c>
      <c r="AC46" s="1022"/>
    </row>
    <row r="47" spans="1:29">
      <c r="A47" s="891" t="s">
        <v>1101</v>
      </c>
      <c r="B47" s="891"/>
      <c r="C47" s="891"/>
      <c r="D47" s="891"/>
      <c r="E47" s="891"/>
      <c r="F47" s="891"/>
      <c r="G47" s="891"/>
      <c r="H47" s="891"/>
      <c r="I47" s="891"/>
      <c r="J47" s="891"/>
      <c r="K47" s="891"/>
      <c r="L47" s="891"/>
      <c r="M47" s="891"/>
      <c r="N47" s="891"/>
      <c r="O47" s="891"/>
      <c r="P47" s="891"/>
      <c r="Q47" s="891"/>
      <c r="R47" s="891"/>
      <c r="S47" s="891"/>
      <c r="T47" s="1023">
        <v>-61</v>
      </c>
      <c r="U47" s="1023">
        <v>-70</v>
      </c>
      <c r="V47" s="1023">
        <v>-100</v>
      </c>
      <c r="W47" s="1023">
        <v>-105</v>
      </c>
      <c r="X47" s="1023">
        <v>-65</v>
      </c>
      <c r="Y47" s="1023"/>
      <c r="Z47" s="1023"/>
      <c r="AA47" s="1023">
        <v>-95</v>
      </c>
      <c r="AB47" s="1023">
        <v>0</v>
      </c>
      <c r="AC47" s="1023"/>
    </row>
    <row r="48" spans="1:29" ht="10.5">
      <c r="A48" s="1017" t="s">
        <v>1097</v>
      </c>
      <c r="B48" s="891"/>
      <c r="C48" s="891"/>
      <c r="D48" s="891"/>
      <c r="E48" s="891"/>
      <c r="F48" s="891"/>
      <c r="G48" s="891"/>
      <c r="H48" s="891"/>
      <c r="I48" s="891"/>
      <c r="J48" s="891"/>
      <c r="K48" s="891"/>
      <c r="L48" s="891"/>
      <c r="M48" s="891"/>
      <c r="N48" s="891"/>
      <c r="O48" s="891"/>
      <c r="P48" s="891"/>
      <c r="Q48" s="891"/>
      <c r="R48" s="891"/>
      <c r="S48" s="891"/>
      <c r="T48" s="1023"/>
      <c r="U48" s="1023"/>
      <c r="V48" s="1023"/>
      <c r="W48" s="1023"/>
      <c r="X48" s="1023"/>
      <c r="Y48" s="1023"/>
      <c r="Z48" s="1023"/>
      <c r="AA48" s="1023"/>
      <c r="AB48" s="1023"/>
      <c r="AC48" s="1023"/>
    </row>
    <row r="49" spans="1:159">
      <c r="A49" s="891" t="s">
        <v>1095</v>
      </c>
      <c r="B49" s="891"/>
      <c r="C49" s="891"/>
      <c r="D49" s="891"/>
      <c r="E49" s="891"/>
      <c r="F49" s="891"/>
      <c r="G49" s="891"/>
      <c r="H49" s="891"/>
      <c r="I49" s="891"/>
      <c r="J49" s="891"/>
      <c r="K49" s="891"/>
      <c r="L49" s="891"/>
      <c r="M49" s="891"/>
      <c r="N49" s="891"/>
      <c r="O49" s="891"/>
      <c r="P49" s="891"/>
      <c r="Q49" s="891"/>
      <c r="R49" s="891"/>
      <c r="S49" s="891"/>
      <c r="T49" s="1030">
        <v>0.20749687630154101</v>
      </c>
      <c r="U49" s="1030">
        <v>0.18176418176418177</v>
      </c>
      <c r="V49" s="1030">
        <v>0.21842806394316164</v>
      </c>
      <c r="W49" s="1030">
        <v>0.24512876413680337</v>
      </c>
      <c r="X49" s="1030">
        <v>0.24475832501321432</v>
      </c>
      <c r="Y49" s="1030">
        <v>0.21380071002653983</v>
      </c>
      <c r="Z49" s="1030">
        <v>0.18360681234932733</v>
      </c>
      <c r="AA49" s="1030">
        <v>0.18968685542846428</v>
      </c>
      <c r="AB49" s="1030">
        <v>0.17829333546300363</v>
      </c>
      <c r="AC49" s="1030"/>
    </row>
    <row r="50" spans="1:159">
      <c r="A50" s="891" t="s">
        <v>1101</v>
      </c>
      <c r="B50" s="891"/>
      <c r="C50" s="891"/>
      <c r="D50" s="891"/>
      <c r="E50" s="891"/>
      <c r="F50" s="891"/>
      <c r="G50" s="891"/>
      <c r="H50" s="891"/>
      <c r="I50" s="891"/>
      <c r="J50" s="891"/>
      <c r="K50" s="891"/>
      <c r="L50" s="891"/>
      <c r="M50" s="891"/>
      <c r="N50" s="891"/>
      <c r="O50" s="891"/>
      <c r="P50" s="891"/>
      <c r="Q50" s="891"/>
      <c r="R50" s="891"/>
      <c r="S50" s="891"/>
      <c r="T50" s="1030">
        <v>0.12981868048148712</v>
      </c>
      <c r="U50" s="1030">
        <v>4.8301651604861329E-2</v>
      </c>
      <c r="V50" s="1030">
        <v>0.11475838049629952</v>
      </c>
      <c r="W50" s="1030">
        <v>0.12114878464158539</v>
      </c>
      <c r="X50" s="1030">
        <v>0.12893982808022922</v>
      </c>
      <c r="Y50" s="1030">
        <v>0.12407818429154435</v>
      </c>
      <c r="Z50" s="1030">
        <v>0.11995386389850057</v>
      </c>
      <c r="AA50" s="1030">
        <v>0.16330911492734479</v>
      </c>
      <c r="AB50" s="1030">
        <v>0.14999152111243005</v>
      </c>
      <c r="AC50" s="1030"/>
    </row>
    <row r="51" spans="1:159" s="1043" customFormat="1" ht="13.5" customHeight="1">
      <c r="A51" s="1013" t="s">
        <v>1102</v>
      </c>
      <c r="B51" s="1041"/>
      <c r="C51" s="1041"/>
      <c r="D51" s="1041"/>
      <c r="E51" s="1041"/>
      <c r="F51" s="1013"/>
      <c r="G51" s="1041"/>
      <c r="H51" s="1041"/>
      <c r="I51" s="1041"/>
      <c r="J51" s="1041"/>
      <c r="K51" s="1041"/>
      <c r="L51" s="1041"/>
      <c r="M51" s="1041"/>
      <c r="N51" s="1013"/>
      <c r="O51" s="1041"/>
      <c r="P51" s="1041"/>
      <c r="Q51" s="1041"/>
      <c r="R51" s="1041"/>
      <c r="S51" s="1041"/>
      <c r="T51" s="1041"/>
      <c r="U51" s="1041"/>
      <c r="V51" s="1041"/>
      <c r="W51" s="1041"/>
      <c r="X51" s="1041"/>
      <c r="Y51" s="1041"/>
      <c r="Z51" s="1041"/>
      <c r="AA51" s="1041"/>
      <c r="AB51" s="1041"/>
      <c r="AC51" s="1041"/>
      <c r="AD51" s="1042"/>
      <c r="AE51" s="1021"/>
      <c r="AF51" s="1021"/>
      <c r="AG51" s="1021"/>
      <c r="AH51" s="1021"/>
      <c r="AI51" s="1021"/>
      <c r="AJ51" s="1021"/>
      <c r="AK51" s="1021"/>
      <c r="AL51" s="1042"/>
      <c r="AM51" s="1021"/>
      <c r="AN51" s="1021"/>
      <c r="AO51" s="1021"/>
      <c r="AP51" s="1021"/>
      <c r="AQ51" s="1021"/>
      <c r="AR51" s="1021"/>
      <c r="AS51" s="1021"/>
      <c r="AT51" s="1021"/>
      <c r="AU51" s="1021"/>
      <c r="AV51" s="1021"/>
      <c r="AW51" s="1021"/>
      <c r="AX51" s="1021"/>
      <c r="AY51" s="1021"/>
      <c r="AZ51" s="1021"/>
      <c r="BA51" s="1021"/>
      <c r="BB51" s="1021"/>
      <c r="BC51" s="1021"/>
      <c r="BD51" s="1021"/>
      <c r="BE51" s="1021"/>
      <c r="BF51" s="1021"/>
      <c r="BG51" s="1021"/>
      <c r="BH51" s="1021"/>
      <c r="BI51" s="1021"/>
      <c r="BJ51" s="1021"/>
      <c r="BK51" s="1021"/>
      <c r="BL51" s="1021"/>
      <c r="BM51" s="1021"/>
      <c r="BN51" s="1021"/>
      <c r="BO51" s="1021"/>
      <c r="BP51" s="1021"/>
      <c r="BQ51" s="1021"/>
      <c r="BR51" s="1021"/>
      <c r="BS51" s="1021"/>
      <c r="BT51" s="1021"/>
      <c r="BU51" s="1021"/>
      <c r="BV51" s="1021"/>
      <c r="BW51" s="1021"/>
      <c r="BX51" s="1021"/>
      <c r="BY51" s="1021"/>
      <c r="BZ51" s="1021"/>
      <c r="CA51" s="1021"/>
      <c r="CB51" s="1021"/>
      <c r="CC51" s="1021"/>
      <c r="CD51" s="1021"/>
      <c r="CE51" s="1021"/>
      <c r="CF51" s="1021"/>
      <c r="CG51" s="1021"/>
      <c r="CH51" s="1021"/>
      <c r="CI51" s="1021"/>
      <c r="CJ51" s="1021"/>
      <c r="CK51" s="1021"/>
      <c r="CL51" s="1021"/>
      <c r="CM51" s="1021"/>
      <c r="CN51" s="1021"/>
      <c r="CO51" s="1021"/>
      <c r="CP51" s="1021"/>
      <c r="CQ51" s="1021"/>
      <c r="CR51" s="1021"/>
      <c r="CS51" s="1021"/>
      <c r="CT51" s="1021"/>
      <c r="CU51" s="1021"/>
      <c r="CV51" s="1021"/>
      <c r="CW51" s="1021"/>
      <c r="CX51" s="1021"/>
      <c r="CY51" s="1021"/>
      <c r="CZ51" s="1021"/>
      <c r="DA51" s="1021"/>
      <c r="DB51" s="1021"/>
      <c r="DC51" s="1021"/>
      <c r="DD51" s="1021"/>
      <c r="DE51" s="1021"/>
      <c r="DF51" s="1021"/>
      <c r="DG51" s="1021"/>
      <c r="DH51" s="1021"/>
      <c r="DI51" s="1021"/>
      <c r="DJ51" s="1021"/>
      <c r="DK51" s="1021"/>
      <c r="DL51" s="1021"/>
      <c r="DM51" s="1021"/>
      <c r="DN51" s="1021"/>
      <c r="DO51" s="1021"/>
      <c r="DP51" s="1021"/>
      <c r="DQ51" s="1021"/>
      <c r="DR51" s="1021"/>
      <c r="DS51" s="1021"/>
      <c r="DT51" s="1021"/>
      <c r="DU51" s="1021"/>
      <c r="DV51" s="1021"/>
      <c r="DW51" s="1021"/>
      <c r="DX51" s="1021"/>
      <c r="DY51" s="1021"/>
      <c r="DZ51" s="1021"/>
      <c r="EA51" s="1021"/>
      <c r="EB51" s="1021"/>
      <c r="EC51" s="1021"/>
      <c r="ED51" s="1021"/>
      <c r="EE51" s="1021"/>
      <c r="EF51" s="1021"/>
      <c r="EG51" s="1021"/>
      <c r="EH51" s="1021"/>
      <c r="EI51" s="1021"/>
      <c r="EJ51" s="1021"/>
      <c r="EK51" s="1021"/>
      <c r="EL51" s="1021"/>
      <c r="EM51" s="1021"/>
      <c r="EN51" s="1021"/>
      <c r="EO51" s="1021"/>
      <c r="EP51" s="1021"/>
      <c r="EQ51" s="1021"/>
      <c r="ER51" s="1021"/>
      <c r="ES51" s="1021"/>
      <c r="ET51" s="1021"/>
      <c r="EU51" s="1021"/>
      <c r="EV51" s="1021"/>
      <c r="EW51" s="1021"/>
      <c r="EX51" s="1021"/>
      <c r="EY51" s="1021"/>
      <c r="EZ51" s="1021"/>
      <c r="FA51" s="1021"/>
      <c r="FB51" s="1021"/>
      <c r="FC51" s="1021"/>
    </row>
    <row r="52" spans="1:159" s="1049" customFormat="1" ht="10.5">
      <c r="A52" s="1044"/>
      <c r="B52" s="1045"/>
      <c r="C52" s="1045"/>
      <c r="D52" s="1045"/>
      <c r="E52" s="1045"/>
      <c r="F52" s="1045"/>
      <c r="G52" s="1045"/>
      <c r="H52" s="1045"/>
      <c r="I52" s="1045"/>
      <c r="J52" s="1045"/>
      <c r="K52" s="1045"/>
      <c r="L52" s="1045"/>
      <c r="M52" s="1045"/>
      <c r="N52" s="1046" t="s">
        <v>1104</v>
      </c>
      <c r="O52" s="1045"/>
      <c r="P52" s="1045" t="s">
        <v>1105</v>
      </c>
      <c r="Q52" s="1047" t="s">
        <v>1106</v>
      </c>
      <c r="R52" s="1048"/>
      <c r="S52" s="1048"/>
      <c r="T52" s="1048"/>
      <c r="U52" s="1048"/>
      <c r="V52" s="1048"/>
      <c r="W52" s="891"/>
      <c r="X52" s="891"/>
      <c r="Y52" s="891"/>
      <c r="Z52" s="891"/>
      <c r="AA52" s="891"/>
      <c r="AB52" s="891"/>
      <c r="AC52" s="891"/>
      <c r="AD52" s="1021"/>
      <c r="AE52" s="1021"/>
      <c r="AF52" s="1021"/>
      <c r="AG52" s="1021"/>
      <c r="AH52" s="1021"/>
      <c r="AI52" s="1021"/>
      <c r="AJ52" s="1021"/>
      <c r="AK52" s="1021"/>
      <c r="AL52" s="1021"/>
      <c r="AM52" s="1021"/>
      <c r="AN52" s="1021"/>
      <c r="AO52" s="1021"/>
      <c r="AP52" s="1021"/>
      <c r="AQ52" s="1021"/>
      <c r="AR52" s="1021"/>
      <c r="AS52" s="1021"/>
      <c r="AT52" s="1021"/>
      <c r="AU52" s="1021"/>
      <c r="AV52" s="1021"/>
      <c r="AW52" s="1021"/>
      <c r="AX52" s="1021"/>
      <c r="AY52" s="1021"/>
      <c r="AZ52" s="1021"/>
      <c r="BA52" s="1021"/>
      <c r="BB52" s="1021"/>
      <c r="BC52" s="1021"/>
      <c r="BD52" s="1021"/>
      <c r="BE52" s="1021"/>
      <c r="BF52" s="1021"/>
      <c r="BG52" s="1021"/>
      <c r="BH52" s="1021"/>
      <c r="BI52" s="1021"/>
      <c r="BJ52" s="1021"/>
      <c r="BK52" s="1021"/>
      <c r="BL52" s="1021"/>
      <c r="BM52" s="1021"/>
      <c r="BN52" s="1021"/>
      <c r="BO52" s="1021"/>
      <c r="BP52" s="1021"/>
      <c r="BQ52" s="1021"/>
      <c r="BR52" s="1021"/>
      <c r="BS52" s="1021"/>
      <c r="BT52" s="1021"/>
      <c r="BU52" s="1021"/>
      <c r="BV52" s="1021"/>
      <c r="BW52" s="1021"/>
      <c r="BX52" s="1021"/>
      <c r="BY52" s="1021"/>
      <c r="BZ52" s="1021"/>
      <c r="CA52" s="1021"/>
      <c r="CB52" s="1021"/>
      <c r="CC52" s="1021"/>
      <c r="CD52" s="1021"/>
      <c r="CE52" s="1021"/>
      <c r="CF52" s="1021"/>
      <c r="CG52" s="1021"/>
      <c r="CH52" s="1021"/>
      <c r="CI52" s="1021"/>
      <c r="CJ52" s="1021"/>
      <c r="CK52" s="1021"/>
      <c r="CL52" s="1021"/>
      <c r="CM52" s="1021"/>
      <c r="CN52" s="1021"/>
      <c r="CO52" s="1021"/>
      <c r="CP52" s="1021"/>
      <c r="CQ52" s="1021"/>
      <c r="CR52" s="1021"/>
      <c r="CS52" s="1021"/>
      <c r="CT52" s="1021"/>
      <c r="CU52" s="1021"/>
      <c r="CV52" s="1021"/>
      <c r="CW52" s="1021"/>
      <c r="CX52" s="1021"/>
      <c r="CY52" s="1021"/>
      <c r="CZ52" s="1021"/>
      <c r="DA52" s="1021"/>
      <c r="DB52" s="1021"/>
      <c r="DC52" s="1021"/>
      <c r="DD52" s="1021"/>
      <c r="DE52" s="1021"/>
      <c r="DF52" s="1021"/>
      <c r="DG52" s="1021"/>
      <c r="DH52" s="1021"/>
      <c r="DI52" s="1021"/>
      <c r="DJ52" s="1021"/>
      <c r="DK52" s="1021"/>
      <c r="DL52" s="1021"/>
      <c r="DM52" s="1021"/>
      <c r="DN52" s="1021"/>
      <c r="DO52" s="1021"/>
      <c r="DP52" s="1021"/>
      <c r="DQ52" s="1021"/>
      <c r="DR52" s="1021"/>
      <c r="DS52" s="1021"/>
      <c r="DT52" s="1021"/>
      <c r="DU52" s="1021"/>
      <c r="DV52" s="1021"/>
      <c r="DW52" s="1021"/>
      <c r="DX52" s="1021"/>
      <c r="DY52" s="1021"/>
      <c r="DZ52" s="1021"/>
      <c r="EA52" s="1021"/>
      <c r="EB52" s="1021"/>
      <c r="EC52" s="1021"/>
      <c r="ED52" s="1021"/>
      <c r="EE52" s="1021"/>
      <c r="EF52" s="1021"/>
      <c r="EG52" s="1021"/>
      <c r="EH52" s="1021"/>
      <c r="EI52" s="1021"/>
      <c r="EJ52" s="1021"/>
      <c r="EK52" s="1021"/>
      <c r="EL52" s="1021"/>
      <c r="EM52" s="1021"/>
      <c r="EN52" s="1021"/>
      <c r="EO52" s="1021"/>
      <c r="EP52" s="1021"/>
      <c r="EQ52" s="1021"/>
      <c r="ER52" s="1021"/>
      <c r="ES52" s="1021"/>
      <c r="ET52" s="1021"/>
      <c r="EU52" s="1021"/>
      <c r="EV52" s="1021"/>
      <c r="EW52" s="1021"/>
      <c r="EX52" s="1021"/>
      <c r="EY52" s="1021"/>
      <c r="EZ52" s="1021"/>
      <c r="FA52" s="1021"/>
      <c r="FB52" s="1021"/>
      <c r="FC52" s="1021"/>
    </row>
    <row r="53" spans="1:159" s="1049" customFormat="1" ht="10.5">
      <c r="A53" s="1047" t="s">
        <v>207</v>
      </c>
      <c r="B53" s="1048">
        <v>1990</v>
      </c>
      <c r="C53" s="1048">
        <v>1991</v>
      </c>
      <c r="D53" s="1048">
        <v>1992</v>
      </c>
      <c r="E53" s="1048">
        <v>1993</v>
      </c>
      <c r="F53" s="1048">
        <v>1994</v>
      </c>
      <c r="G53" s="1048">
        <v>1995</v>
      </c>
      <c r="H53" s="1048">
        <v>1996</v>
      </c>
      <c r="I53" s="1048">
        <v>1997</v>
      </c>
      <c r="J53" s="1048">
        <v>1998</v>
      </c>
      <c r="K53" s="1048">
        <v>1999</v>
      </c>
      <c r="L53" s="1048">
        <v>2000</v>
      </c>
      <c r="M53" s="1048">
        <v>2001</v>
      </c>
      <c r="N53" s="1048">
        <v>2002</v>
      </c>
      <c r="O53" s="1048">
        <v>2003</v>
      </c>
      <c r="P53" s="1048">
        <v>2004</v>
      </c>
      <c r="Q53" s="1048">
        <v>2005</v>
      </c>
      <c r="R53" s="1048">
        <v>2006</v>
      </c>
      <c r="S53" s="1048">
        <v>2007</v>
      </c>
      <c r="T53" s="1048">
        <v>2008</v>
      </c>
      <c r="U53" s="1048">
        <v>2009</v>
      </c>
      <c r="V53" s="1048">
        <v>2010</v>
      </c>
      <c r="W53" s="891"/>
      <c r="X53" s="891"/>
      <c r="Y53" s="891"/>
      <c r="Z53" s="891"/>
      <c r="AA53" s="891"/>
      <c r="AB53" s="891"/>
      <c r="AC53" s="891"/>
      <c r="AD53" s="1021"/>
      <c r="AE53" s="1021"/>
      <c r="AF53" s="1021"/>
      <c r="AG53" s="1021"/>
      <c r="AH53" s="1021"/>
      <c r="AI53" s="1021"/>
      <c r="AJ53" s="1021"/>
      <c r="AK53" s="1021"/>
      <c r="AL53" s="1021"/>
      <c r="AM53" s="1021"/>
      <c r="AN53" s="1021"/>
      <c r="AO53" s="1021"/>
      <c r="AP53" s="1021"/>
      <c r="AQ53" s="1021"/>
      <c r="AR53" s="1021"/>
      <c r="AS53" s="1021"/>
      <c r="AT53" s="1021"/>
      <c r="AU53" s="1021"/>
      <c r="AV53" s="1021"/>
      <c r="AW53" s="1021"/>
      <c r="AX53" s="1021"/>
      <c r="AY53" s="1021"/>
      <c r="AZ53" s="1021"/>
      <c r="BA53" s="1021"/>
      <c r="BB53" s="1021"/>
      <c r="BC53" s="1021"/>
      <c r="BD53" s="1021"/>
      <c r="BE53" s="1021"/>
      <c r="BF53" s="1021"/>
      <c r="BG53" s="1021"/>
      <c r="BH53" s="1021"/>
      <c r="BI53" s="1021"/>
      <c r="BJ53" s="1021"/>
      <c r="BK53" s="1021"/>
      <c r="BL53" s="1021"/>
      <c r="BM53" s="1021"/>
      <c r="BN53" s="1021"/>
      <c r="BO53" s="1021"/>
      <c r="BP53" s="1021"/>
      <c r="BQ53" s="1021"/>
      <c r="BR53" s="1021"/>
      <c r="BS53" s="1021"/>
      <c r="BT53" s="1021"/>
      <c r="BU53" s="1021"/>
      <c r="BV53" s="1021"/>
      <c r="BW53" s="1021"/>
      <c r="BX53" s="1021"/>
      <c r="BY53" s="1021"/>
      <c r="BZ53" s="1021"/>
      <c r="CA53" s="1021"/>
      <c r="CB53" s="1021"/>
      <c r="CC53" s="1021"/>
      <c r="CD53" s="1021"/>
      <c r="CE53" s="1021"/>
      <c r="CF53" s="1021"/>
      <c r="CG53" s="1021"/>
      <c r="CH53" s="1021"/>
      <c r="CI53" s="1021"/>
      <c r="CJ53" s="1021"/>
      <c r="CK53" s="1021"/>
      <c r="CL53" s="1021"/>
      <c r="CM53" s="1021"/>
      <c r="CN53" s="1021"/>
      <c r="CO53" s="1021"/>
      <c r="CP53" s="1021"/>
      <c r="CQ53" s="1021"/>
      <c r="CR53" s="1021"/>
      <c r="CS53" s="1021"/>
      <c r="CT53" s="1021"/>
      <c r="CU53" s="1021"/>
      <c r="CV53" s="1021"/>
      <c r="CW53" s="1021"/>
      <c r="CX53" s="1021"/>
      <c r="CY53" s="1021"/>
      <c r="CZ53" s="1021"/>
      <c r="DA53" s="1021"/>
      <c r="DB53" s="1021"/>
      <c r="DC53" s="1021"/>
      <c r="DD53" s="1021"/>
      <c r="DE53" s="1021"/>
      <c r="DF53" s="1021"/>
      <c r="DG53" s="1021"/>
      <c r="DH53" s="1021"/>
      <c r="DI53" s="1021"/>
      <c r="DJ53" s="1021"/>
      <c r="DK53" s="1021"/>
      <c r="DL53" s="1021"/>
      <c r="DM53" s="1021"/>
      <c r="DN53" s="1021"/>
      <c r="DO53" s="1021"/>
      <c r="DP53" s="1021"/>
      <c r="DQ53" s="1021"/>
      <c r="DR53" s="1021"/>
      <c r="DS53" s="1021"/>
      <c r="DT53" s="1021"/>
      <c r="DU53" s="1021"/>
      <c r="DV53" s="1021"/>
      <c r="DW53" s="1021"/>
      <c r="DX53" s="1021"/>
      <c r="DY53" s="1021"/>
      <c r="DZ53" s="1021"/>
      <c r="EA53" s="1021"/>
      <c r="EB53" s="1021"/>
      <c r="EC53" s="1021"/>
      <c r="ED53" s="1021"/>
      <c r="EE53" s="1021"/>
      <c r="EF53" s="1021"/>
      <c r="EG53" s="1021"/>
      <c r="EH53" s="1021"/>
      <c r="EI53" s="1021"/>
      <c r="EJ53" s="1021"/>
      <c r="EK53" s="1021"/>
      <c r="EL53" s="1021"/>
      <c r="EM53" s="1021"/>
      <c r="EN53" s="1021"/>
      <c r="EO53" s="1021"/>
      <c r="EP53" s="1021"/>
      <c r="EQ53" s="1021"/>
      <c r="ER53" s="1021"/>
      <c r="ES53" s="1021"/>
      <c r="ET53" s="1021"/>
      <c r="EU53" s="1021"/>
      <c r="EV53" s="1021"/>
      <c r="EW53" s="1021"/>
      <c r="EX53" s="1021"/>
      <c r="EY53" s="1021"/>
      <c r="EZ53" s="1021"/>
      <c r="FA53" s="1021"/>
      <c r="FB53" s="1021"/>
      <c r="FC53" s="1021"/>
    </row>
    <row r="54" spans="1:159" ht="10.5">
      <c r="A54" s="1050" t="s">
        <v>13</v>
      </c>
      <c r="B54" s="1051"/>
      <c r="C54" s="1051"/>
      <c r="D54" s="1052"/>
      <c r="E54" s="1052"/>
      <c r="F54" s="1051"/>
      <c r="G54" s="1051"/>
      <c r="H54" s="1051"/>
      <c r="I54" s="1051"/>
      <c r="J54" s="1052"/>
      <c r="K54" s="1051"/>
      <c r="L54" s="1051"/>
      <c r="M54" s="1052"/>
      <c r="N54" s="1052"/>
      <c r="O54" s="1052"/>
      <c r="P54" s="1052"/>
      <c r="Q54" s="1052"/>
      <c r="R54" s="1052"/>
      <c r="S54" s="1052"/>
      <c r="T54" s="1052"/>
      <c r="U54" s="1052"/>
      <c r="V54" s="1052"/>
      <c r="W54" s="891"/>
      <c r="X54" s="891"/>
      <c r="Y54" s="891"/>
      <c r="Z54" s="891"/>
      <c r="AA54" s="891"/>
      <c r="AB54" s="891"/>
      <c r="AC54" s="891"/>
    </row>
    <row r="55" spans="1:159">
      <c r="A55" s="1051" t="s">
        <v>1107</v>
      </c>
      <c r="B55" s="1053">
        <v>4945</v>
      </c>
      <c r="C55" s="1053">
        <v>4523</v>
      </c>
      <c r="D55" s="1053">
        <v>4305</v>
      </c>
      <c r="E55" s="1053">
        <v>5181</v>
      </c>
      <c r="F55" s="1053">
        <v>5789</v>
      </c>
      <c r="G55" s="1053">
        <v>6144</v>
      </c>
      <c r="H55" s="1053">
        <v>5867</v>
      </c>
      <c r="I55" s="1053">
        <v>6652</v>
      </c>
      <c r="J55" s="1053">
        <v>6117</v>
      </c>
      <c r="K55" s="1053">
        <v>6062</v>
      </c>
      <c r="L55" s="1053">
        <v>6921</v>
      </c>
      <c r="M55" s="1053">
        <v>7282</v>
      </c>
      <c r="N55" s="1053">
        <v>7633</v>
      </c>
      <c r="O55" s="1053">
        <v>7980</v>
      </c>
      <c r="P55" s="1053">
        <v>11177</v>
      </c>
      <c r="Q55" s="1053">
        <v>16581</v>
      </c>
      <c r="R55" s="1053">
        <v>20563</v>
      </c>
      <c r="S55" s="1053">
        <v>27447</v>
      </c>
      <c r="T55" s="1053">
        <v>30129</v>
      </c>
      <c r="U55" s="1053">
        <v>23500</v>
      </c>
      <c r="V55" s="1053">
        <v>33436</v>
      </c>
      <c r="W55" s="891"/>
      <c r="X55" s="891"/>
      <c r="Y55" s="891"/>
      <c r="Z55" s="891"/>
      <c r="AA55" s="891"/>
      <c r="AB55" s="891"/>
      <c r="AC55" s="891"/>
    </row>
    <row r="56" spans="1:159" ht="10.5">
      <c r="A56" s="1050" t="s">
        <v>0</v>
      </c>
      <c r="B56" s="1051"/>
      <c r="C56" s="1051"/>
      <c r="D56" s="1051"/>
      <c r="E56" s="1051"/>
      <c r="F56" s="1051"/>
      <c r="G56" s="1051"/>
      <c r="H56" s="1051"/>
      <c r="I56" s="1051"/>
      <c r="J56" s="1051"/>
      <c r="K56" s="1051"/>
      <c r="L56" s="1051"/>
      <c r="M56" s="1051"/>
      <c r="N56" s="1051"/>
      <c r="O56" s="1051"/>
      <c r="P56" s="1051"/>
      <c r="Q56" s="1051"/>
      <c r="R56" s="1054" t="s">
        <v>1103</v>
      </c>
      <c r="S56" s="1054"/>
      <c r="T56" s="1054"/>
      <c r="U56" s="1054"/>
      <c r="V56" s="1054"/>
      <c r="W56" s="891"/>
      <c r="X56" s="891"/>
      <c r="Y56" s="891"/>
      <c r="Z56" s="891"/>
      <c r="AA56" s="891"/>
      <c r="AB56" s="891"/>
      <c r="AC56" s="891"/>
    </row>
    <row r="57" spans="1:159">
      <c r="A57" s="1051" t="s">
        <v>1107</v>
      </c>
      <c r="B57" s="1053">
        <v>4855</v>
      </c>
      <c r="C57" s="1053">
        <v>4497</v>
      </c>
      <c r="D57" s="1053">
        <v>4254</v>
      </c>
      <c r="E57" s="1053">
        <v>5257</v>
      </c>
      <c r="F57" s="1053">
        <v>5472</v>
      </c>
      <c r="G57" s="1053">
        <v>6194</v>
      </c>
      <c r="H57" s="1053">
        <v>5921</v>
      </c>
      <c r="I57" s="1053">
        <v>6453</v>
      </c>
      <c r="J57" s="1053">
        <v>6437</v>
      </c>
      <c r="K57" s="1053">
        <v>5725</v>
      </c>
      <c r="L57" s="1053">
        <v>7083</v>
      </c>
      <c r="M57" s="1053">
        <v>7253</v>
      </c>
      <c r="N57" s="1053">
        <v>7618</v>
      </c>
      <c r="O57" s="1053">
        <v>7894</v>
      </c>
      <c r="P57" s="1053">
        <v>10454</v>
      </c>
      <c r="Q57" s="1053">
        <v>15154</v>
      </c>
      <c r="R57" s="1053">
        <v>18914</v>
      </c>
      <c r="S57" s="1053">
        <v>25140</v>
      </c>
      <c r="T57" s="1053">
        <v>31660</v>
      </c>
      <c r="U57" s="1053">
        <v>25909</v>
      </c>
      <c r="V57" s="1053">
        <v>29156</v>
      </c>
      <c r="W57" s="891"/>
      <c r="X57" s="891"/>
      <c r="Y57" s="891"/>
      <c r="Z57" s="891"/>
      <c r="AA57" s="891"/>
      <c r="AB57" s="891"/>
      <c r="AC57" s="891"/>
    </row>
    <row r="58" spans="1:159" ht="10.5">
      <c r="A58" s="1050" t="s">
        <v>6</v>
      </c>
      <c r="B58" s="1053"/>
      <c r="C58" s="1053"/>
      <c r="D58" s="1053"/>
      <c r="E58" s="1053"/>
      <c r="F58" s="1053"/>
      <c r="G58" s="1053"/>
      <c r="H58" s="1053"/>
      <c r="I58" s="1053"/>
      <c r="J58" s="1053"/>
      <c r="K58" s="1053"/>
      <c r="L58" s="1053"/>
      <c r="M58" s="1053"/>
      <c r="N58" s="1053"/>
      <c r="O58" s="1053"/>
      <c r="P58" s="1053"/>
      <c r="Q58" s="1055"/>
      <c r="R58" s="1055"/>
      <c r="S58" s="1055"/>
      <c r="T58" s="1055"/>
      <c r="U58" s="1055"/>
      <c r="V58" s="1055"/>
      <c r="W58" s="891"/>
      <c r="X58" s="891"/>
      <c r="Y58" s="891"/>
      <c r="Z58" s="891"/>
      <c r="AA58" s="891"/>
      <c r="AB58" s="891"/>
      <c r="AC58" s="891"/>
    </row>
    <row r="59" spans="1:159">
      <c r="A59" s="1051" t="s">
        <v>1107</v>
      </c>
      <c r="B59" s="1053">
        <v>-2</v>
      </c>
      <c r="C59" s="1053">
        <v>-53</v>
      </c>
      <c r="D59" s="1053">
        <v>158</v>
      </c>
      <c r="E59" s="1053">
        <v>102</v>
      </c>
      <c r="F59" s="1053">
        <v>58</v>
      </c>
      <c r="G59" s="1053">
        <v>394</v>
      </c>
      <c r="H59" s="1053">
        <v>396</v>
      </c>
      <c r="I59" s="1053">
        <v>387</v>
      </c>
      <c r="J59" s="1053">
        <v>498</v>
      </c>
      <c r="K59" s="1053">
        <v>397</v>
      </c>
      <c r="L59" s="1053">
        <v>650</v>
      </c>
      <c r="M59" s="1053">
        <v>736</v>
      </c>
      <c r="N59" s="1053">
        <v>680</v>
      </c>
      <c r="O59" s="1053">
        <v>675</v>
      </c>
      <c r="P59" s="1053">
        <v>1115</v>
      </c>
      <c r="Q59" s="1053">
        <v>2073</v>
      </c>
      <c r="R59" s="1053">
        <v>3010</v>
      </c>
      <c r="S59" s="1053">
        <v>4384</v>
      </c>
      <c r="T59" s="1053">
        <v>5602</v>
      </c>
      <c r="U59" s="1053">
        <v>3470</v>
      </c>
      <c r="V59" s="1053">
        <v>5243</v>
      </c>
      <c r="W59" s="891"/>
      <c r="X59" s="891"/>
      <c r="Y59" s="891"/>
      <c r="Z59" s="891"/>
      <c r="AA59" s="891"/>
      <c r="AB59" s="891"/>
      <c r="AC59" s="891"/>
    </row>
    <row r="60" spans="1:159" ht="10.5">
      <c r="A60" s="1050" t="s">
        <v>7</v>
      </c>
      <c r="B60" s="1053"/>
      <c r="C60" s="1053"/>
      <c r="D60" s="1053"/>
      <c r="E60" s="1053"/>
      <c r="F60" s="1053"/>
      <c r="G60" s="1053"/>
      <c r="H60" s="1053"/>
      <c r="I60" s="1053"/>
      <c r="J60" s="1053"/>
      <c r="K60" s="1053"/>
      <c r="L60" s="1053"/>
      <c r="M60" s="1053"/>
      <c r="N60" s="1053"/>
      <c r="O60" s="1053"/>
      <c r="P60" s="1053"/>
      <c r="Q60" s="1053"/>
      <c r="R60" s="1053"/>
      <c r="S60" s="1053"/>
      <c r="T60" s="1053"/>
      <c r="U60" s="1053"/>
      <c r="V60" s="1053"/>
      <c r="W60" s="891"/>
      <c r="X60" s="891"/>
      <c r="Y60" s="891"/>
      <c r="Z60" s="891"/>
      <c r="AA60" s="891"/>
      <c r="AB60" s="891"/>
      <c r="AC60" s="891"/>
    </row>
    <row r="61" spans="1:159">
      <c r="A61" s="1051" t="s">
        <v>1107</v>
      </c>
      <c r="B61" s="1030">
        <v>-4.1194644696189496E-4</v>
      </c>
      <c r="C61" s="1030">
        <v>-1.1785634867689571E-2</v>
      </c>
      <c r="D61" s="1030">
        <v>3.7141513869299481E-2</v>
      </c>
      <c r="E61" s="1030">
        <v>1.9402701160357617E-2</v>
      </c>
      <c r="F61" s="1030">
        <v>1.0599415204678362E-2</v>
      </c>
      <c r="G61" s="1030">
        <v>6.3609945108169197E-2</v>
      </c>
      <c r="H61" s="1030">
        <v>6.6880594494173287E-2</v>
      </c>
      <c r="I61" s="1030">
        <v>5.9972105997210597E-2</v>
      </c>
      <c r="J61" s="1030">
        <v>7.7365232251048618E-2</v>
      </c>
      <c r="K61" s="1030">
        <v>6.9344978165938861E-2</v>
      </c>
      <c r="L61" s="1030">
        <v>9.1769024424678811E-2</v>
      </c>
      <c r="M61" s="1030">
        <v>0.1014752516200193</v>
      </c>
      <c r="N61" s="1030">
        <v>8.9262273562614861E-2</v>
      </c>
      <c r="O61" s="1030">
        <v>8.5507980744869524E-2</v>
      </c>
      <c r="P61" s="1030">
        <v>0.10665773866462598</v>
      </c>
      <c r="Q61" s="1030">
        <v>0.13679556552725353</v>
      </c>
      <c r="R61" s="1030">
        <v>0.15914137675795706</v>
      </c>
      <c r="S61" s="1030">
        <v>0.17438345266507557</v>
      </c>
      <c r="T61" s="1030">
        <v>0.17694251421351864</v>
      </c>
      <c r="U61" s="1030">
        <v>0.13393029449226138</v>
      </c>
      <c r="V61" s="1030">
        <v>0.17982576485114557</v>
      </c>
      <c r="W61" s="891"/>
      <c r="X61" s="891"/>
      <c r="Y61" s="891"/>
      <c r="Z61" s="891"/>
      <c r="AA61" s="891"/>
      <c r="AB61" s="891"/>
      <c r="AC61" s="891"/>
    </row>
    <row r="62" spans="1:159" ht="10.5">
      <c r="A62" s="1050" t="s">
        <v>208</v>
      </c>
      <c r="B62" s="1053">
        <v>-194</v>
      </c>
      <c r="C62" s="1053">
        <v>-190</v>
      </c>
      <c r="D62" s="1053">
        <v>-100</v>
      </c>
      <c r="E62" s="1053">
        <v>-100</v>
      </c>
      <c r="F62" s="1053">
        <v>0</v>
      </c>
      <c r="G62" s="1053">
        <v>0</v>
      </c>
      <c r="H62" s="1053">
        <v>0</v>
      </c>
      <c r="I62" s="1053">
        <v>0</v>
      </c>
      <c r="J62" s="1053">
        <v>0</v>
      </c>
      <c r="K62" s="1053">
        <v>83</v>
      </c>
      <c r="L62" s="1053">
        <v>-26</v>
      </c>
      <c r="M62" s="1053">
        <v>-260</v>
      </c>
      <c r="N62" s="1053">
        <v>389</v>
      </c>
      <c r="O62" s="1053">
        <v>77</v>
      </c>
      <c r="P62" s="1053">
        <v>-58</v>
      </c>
      <c r="Q62" s="1053">
        <v>0</v>
      </c>
      <c r="R62" s="1053">
        <v>-83</v>
      </c>
      <c r="S62" s="1053">
        <v>70</v>
      </c>
      <c r="T62" s="1053">
        <v>-292</v>
      </c>
      <c r="U62" s="1053">
        <v>-569</v>
      </c>
      <c r="V62" s="1053">
        <v>-100</v>
      </c>
      <c r="W62" s="891"/>
      <c r="X62" s="891"/>
      <c r="Y62" s="891"/>
      <c r="Z62" s="891"/>
      <c r="AA62" s="891"/>
      <c r="AB62" s="891"/>
      <c r="AC62" s="891"/>
    </row>
    <row r="63" spans="1:159">
      <c r="A63" s="1051" t="s">
        <v>1107</v>
      </c>
      <c r="B63" s="1053"/>
      <c r="C63" s="1053"/>
      <c r="D63" s="1053"/>
      <c r="E63" s="1053"/>
      <c r="F63" s="1053"/>
      <c r="G63" s="1053"/>
      <c r="H63" s="1053"/>
      <c r="I63" s="1053"/>
      <c r="J63" s="1053"/>
      <c r="K63" s="1053"/>
      <c r="L63" s="1053"/>
      <c r="M63" s="1053"/>
      <c r="N63" s="1053">
        <v>-68</v>
      </c>
      <c r="O63" s="1053">
        <v>-54</v>
      </c>
      <c r="P63" s="1053">
        <v>-58</v>
      </c>
      <c r="Q63" s="1053"/>
      <c r="R63" s="1054"/>
      <c r="S63" s="1053"/>
      <c r="T63" s="1053">
        <v>-110</v>
      </c>
      <c r="U63" s="1053">
        <v>-143</v>
      </c>
      <c r="V63" s="1053">
        <v>-100</v>
      </c>
      <c r="W63" s="891"/>
      <c r="X63" s="891"/>
      <c r="Y63" s="891"/>
      <c r="Z63" s="891"/>
      <c r="AA63" s="891"/>
      <c r="AB63" s="891"/>
      <c r="AC63" s="891"/>
    </row>
    <row r="64" spans="1:159" ht="10.5">
      <c r="A64" s="1050" t="s">
        <v>1097</v>
      </c>
      <c r="B64" s="1053"/>
      <c r="C64" s="1053"/>
      <c r="D64" s="1053"/>
      <c r="E64" s="1053"/>
      <c r="F64" s="1053"/>
      <c r="G64" s="1053"/>
      <c r="H64" s="1053"/>
      <c r="I64" s="1053"/>
      <c r="J64" s="1053"/>
      <c r="K64" s="1053"/>
      <c r="L64" s="1053"/>
      <c r="M64" s="1053"/>
      <c r="N64" s="1053"/>
      <c r="O64" s="1053"/>
      <c r="P64" s="1053"/>
      <c r="Q64" s="1053"/>
      <c r="R64" s="1054"/>
      <c r="S64" s="1054"/>
      <c r="T64" s="1054"/>
      <c r="U64" s="1054"/>
      <c r="V64" s="1054"/>
      <c r="W64" s="891"/>
      <c r="X64" s="891"/>
      <c r="Y64" s="891"/>
      <c r="Z64" s="891"/>
      <c r="AA64" s="891"/>
      <c r="AB64" s="891"/>
      <c r="AC64" s="891"/>
    </row>
    <row r="65" spans="1:29">
      <c r="A65" s="1051" t="s">
        <v>1107</v>
      </c>
      <c r="B65" s="1030">
        <v>-4.1194644696189496E-4</v>
      </c>
      <c r="C65" s="1030">
        <v>-1.1785634867689571E-2</v>
      </c>
      <c r="D65" s="1030">
        <v>3.7141513869299481E-2</v>
      </c>
      <c r="E65" s="1030">
        <v>1.9402701160357617E-2</v>
      </c>
      <c r="F65" s="1030">
        <v>1.0599415204678362E-2</v>
      </c>
      <c r="G65" s="1030">
        <v>6.3609945108169197E-2</v>
      </c>
      <c r="H65" s="1030">
        <v>6.6880594494173287E-2</v>
      </c>
      <c r="I65" s="1030">
        <v>5.9972105997210597E-2</v>
      </c>
      <c r="J65" s="1030">
        <v>7.7365232251048618E-2</v>
      </c>
      <c r="K65" s="1030">
        <v>6.9344978165938861E-2</v>
      </c>
      <c r="L65" s="1030">
        <v>9.1769024424678811E-2</v>
      </c>
      <c r="M65" s="1030">
        <v>0.1014752516200193</v>
      </c>
      <c r="N65" s="1030">
        <v>9.8188500918876348E-2</v>
      </c>
      <c r="O65" s="1030">
        <v>9.2348619204459081E-2</v>
      </c>
      <c r="P65" s="1030">
        <v>0.11220585421848096</v>
      </c>
      <c r="Q65" s="1030">
        <v>0.13679556552725353</v>
      </c>
      <c r="R65" s="1030">
        <v>0.15914137675795706</v>
      </c>
      <c r="S65" s="1030">
        <v>0.17438345266507557</v>
      </c>
      <c r="T65" s="1030">
        <v>0.18041692987997474</v>
      </c>
      <c r="U65" s="1030">
        <v>0.13944961210390211</v>
      </c>
      <c r="V65" s="1030">
        <v>0.18325559061599669</v>
      </c>
      <c r="W65" s="891"/>
      <c r="X65" s="891"/>
      <c r="Y65" s="891"/>
      <c r="Z65" s="891"/>
      <c r="AA65" s="891"/>
      <c r="AB65" s="891"/>
      <c r="AC65" s="891"/>
    </row>
    <row r="66" spans="1:29" ht="10.5">
      <c r="P66" s="1056"/>
      <c r="Q66" s="1056"/>
      <c r="R66" s="1057"/>
      <c r="S66" s="1057"/>
      <c r="T66" s="1003"/>
      <c r="U66" s="1003"/>
      <c r="V66" s="1003"/>
      <c r="W66" s="1003"/>
      <c r="X66" s="1003"/>
      <c r="Y66" s="1003"/>
      <c r="Z66" s="1003"/>
      <c r="AA66" s="1003"/>
      <c r="AB66" s="1003"/>
      <c r="AC66" s="1058"/>
    </row>
    <row r="67" spans="1:29">
      <c r="A67" s="1059"/>
      <c r="R67" s="1059"/>
      <c r="S67" s="1058"/>
      <c r="T67" s="1058"/>
      <c r="U67" s="1058"/>
      <c r="V67" s="1058"/>
      <c r="W67" s="1058"/>
      <c r="X67" s="1058"/>
      <c r="Y67" s="1058"/>
      <c r="Z67" s="1058"/>
      <c r="AA67" s="1058"/>
      <c r="AB67" s="1058"/>
      <c r="AC67" s="1058"/>
    </row>
    <row r="68" spans="1:29">
      <c r="A68" s="1059"/>
      <c r="R68" s="1059"/>
      <c r="S68" s="1058"/>
      <c r="T68" s="1058"/>
      <c r="U68" s="1058"/>
      <c r="V68" s="1058"/>
      <c r="W68" s="1058"/>
      <c r="X68" s="1058"/>
      <c r="Y68" s="1058"/>
      <c r="Z68" s="1058"/>
      <c r="AA68" s="1058"/>
      <c r="AB68" s="1058"/>
    </row>
    <row r="69" spans="1:29">
      <c r="A69" s="1059"/>
      <c r="R69" s="1059"/>
      <c r="S69" s="1058"/>
      <c r="T69" s="1058"/>
      <c r="U69" s="1058"/>
      <c r="V69" s="1058"/>
      <c r="W69" s="1058"/>
      <c r="X69" s="1058"/>
      <c r="Y69" s="1058"/>
      <c r="Z69" s="1058"/>
      <c r="AA69" s="1058"/>
      <c r="AB69" s="1058"/>
      <c r="AC69" s="1058"/>
    </row>
    <row r="70" spans="1:29">
      <c r="A70" s="1059"/>
      <c r="R70" s="1059"/>
      <c r="S70" s="1058"/>
      <c r="T70" s="1058"/>
      <c r="U70" s="1058"/>
      <c r="V70" s="1058"/>
      <c r="W70" s="1058"/>
      <c r="X70" s="1058"/>
      <c r="Y70" s="1058"/>
      <c r="Z70" s="1058"/>
      <c r="AA70" s="1058"/>
      <c r="AB70" s="1058"/>
      <c r="AC70" s="1060"/>
    </row>
    <row r="71" spans="1:29">
      <c r="A71" s="1059"/>
      <c r="R71" s="1059"/>
      <c r="S71" s="1061"/>
      <c r="T71" s="1061"/>
      <c r="U71" s="1061"/>
      <c r="V71" s="1058"/>
      <c r="W71" s="1058"/>
      <c r="X71" s="1058"/>
      <c r="Y71" s="1058"/>
      <c r="Z71" s="1058"/>
      <c r="AA71" s="1058"/>
      <c r="AB71" s="1058"/>
    </row>
    <row r="73" spans="1:29">
      <c r="A73" s="1059"/>
      <c r="R73" s="1059"/>
      <c r="S73" s="1058"/>
      <c r="T73" s="1058"/>
      <c r="U73" s="1058"/>
      <c r="V73" s="1058"/>
      <c r="W73" s="1058"/>
      <c r="X73" s="1058"/>
      <c r="Y73" s="1058"/>
      <c r="Z73" s="1058"/>
      <c r="AA73" s="1058"/>
      <c r="AB73" s="1058"/>
      <c r="AC73" s="1058"/>
    </row>
    <row r="74" spans="1:29">
      <c r="A74" s="1059"/>
      <c r="R74" s="1059"/>
      <c r="S74" s="1060"/>
      <c r="T74" s="1060"/>
      <c r="U74" s="1060"/>
      <c r="V74" s="1060"/>
      <c r="W74" s="1060"/>
      <c r="X74" s="1060"/>
      <c r="Y74" s="1060"/>
      <c r="Z74" s="1060"/>
      <c r="AA74" s="1060"/>
      <c r="AB74" s="1060"/>
      <c r="AC74" s="1060"/>
    </row>
    <row r="76" spans="1:29">
      <c r="A76" s="1059"/>
      <c r="R76" s="1059"/>
    </row>
    <row r="77" spans="1:29">
      <c r="A77" s="1059"/>
      <c r="R77" s="1059"/>
      <c r="S77" s="1058"/>
      <c r="T77" s="1058"/>
      <c r="U77" s="1058"/>
      <c r="V77" s="1058"/>
      <c r="W77" s="1058"/>
      <c r="X77" s="1058"/>
      <c r="Y77" s="1058"/>
      <c r="Z77" s="1058"/>
      <c r="AA77" s="1058"/>
      <c r="AB77" s="1058"/>
    </row>
    <row r="78" spans="1:29">
      <c r="A78" s="1059"/>
      <c r="R78" s="1059"/>
      <c r="S78" s="1060"/>
      <c r="T78" s="1060"/>
      <c r="U78" s="1060"/>
      <c r="V78" s="1060"/>
      <c r="W78" s="1060"/>
      <c r="X78" s="1060"/>
      <c r="Y78" s="1060"/>
      <c r="Z78" s="1060"/>
      <c r="AA78" s="1060"/>
      <c r="AB78" s="1060"/>
    </row>
  </sheetData>
  <dataConsolidate link="1"/>
  <pageMargins left="0.70866141732283472" right="0.70866141732283472" top="0.74803149606299213" bottom="0.74803149606299213" header="0.31496062992125984" footer="0.31496062992125984"/>
  <pageSetup paperSize="9" scale="7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START PAGE</vt:lpstr>
      <vt:lpstr>Definitions</vt:lpstr>
      <vt:lpstr>APMs calculated</vt:lpstr>
      <vt:lpstr>Income statement</vt:lpstr>
      <vt:lpstr>Segments</vt:lpstr>
      <vt:lpstr>Geography</vt:lpstr>
      <vt:lpstr>Balance Sheet</vt:lpstr>
      <vt:lpstr>Cash flow</vt:lpstr>
      <vt:lpstr>Sales bridges</vt:lpstr>
      <vt:lpstr>Profit bridges</vt:lpstr>
      <vt:lpstr>Adjusted bridges </vt:lpstr>
      <vt:lpstr>Key figures</vt:lpstr>
      <vt:lpstr>ESG</vt:lpstr>
      <vt:lpstr>Large orders</vt:lpstr>
      <vt:lpstr>OIB</vt:lpstr>
      <vt:lpstr>M&amp;A</vt:lpstr>
      <vt:lpstr>Segments (Old)</vt:lpstr>
      <vt:lpstr>Atlas Copco (Old) </vt:lpstr>
      <vt:lpstr>'APMs calculated'!Print_Area</vt:lpstr>
      <vt:lpstr>'Atlas Copco (Old) '!Print_Area</vt:lpstr>
      <vt:lpstr>'Balance Sheet'!Print_Area</vt:lpstr>
      <vt:lpstr>'Cash flow'!Print_Area</vt:lpstr>
      <vt:lpstr>Definitions!Print_Area</vt:lpstr>
      <vt:lpstr>ESG!Print_Area</vt:lpstr>
      <vt:lpstr>Geography!Print_Area</vt:lpstr>
      <vt:lpstr>'Income statement'!Print_Area</vt:lpstr>
      <vt:lpstr>'Key figures'!Print_Area</vt:lpstr>
      <vt:lpstr>'Large orders'!Print_Area</vt:lpstr>
      <vt:lpstr>'M&amp;A'!Print_Area</vt:lpstr>
      <vt:lpstr>OIB!Print_Area</vt:lpstr>
      <vt:lpstr>'Profit bridges'!Print_Area</vt:lpstr>
      <vt:lpstr>'Sales bridges'!Print_Area</vt:lpstr>
      <vt:lpstr>Segments!Print_Area</vt:lpstr>
      <vt:lpstr>'Segments (Old)'!Print_Area</vt:lpstr>
      <vt:lpstr>'START PAGE'!Print_Area</vt:lpstr>
    </vt:vector>
  </TitlesOfParts>
  <Company>Atlas Copco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Larsson</dc:creator>
  <cp:lastModifiedBy>Karin Larsson</cp:lastModifiedBy>
  <cp:lastPrinted>2023-07-11T14:24:06Z</cp:lastPrinted>
  <dcterms:created xsi:type="dcterms:W3CDTF">2017-10-13T09:24:47Z</dcterms:created>
  <dcterms:modified xsi:type="dcterms:W3CDTF">2025-07-18T09:39:54Z</dcterms:modified>
</cp:coreProperties>
</file>